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 codeName="{F2B83AC3-3A92-4FF1-8D57-CA5CB3A19BB1}"/>
  <workbookPr filterPrivacy="1" showInkAnnotation="0" codeName="ThisWorkbook"/>
  <bookViews>
    <workbookView xWindow="0" yWindow="0" windowWidth="22260" windowHeight="12645"/>
  </bookViews>
  <sheets>
    <sheet name="Résultats d'étalonnage" sheetId="7" r:id="rId1"/>
    <sheet name="Liste" sheetId="6" state="hidden" r:id="rId2"/>
  </sheets>
  <definedNames>
    <definedName name="Balances">Liste!$A$5:$A$14</definedName>
    <definedName name="Etalons">Liste!$T$4:$T$37</definedName>
    <definedName name="_xlnm.Print_Area" localSheetId="0">'Résultats d''étalonnage'!$A$1:$F$126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7" l="1"/>
  <c r="N13" i="6" l="1"/>
  <c r="O13" i="6"/>
  <c r="P13" i="6"/>
  <c r="Q13" i="6"/>
  <c r="R13" i="6"/>
  <c r="N5" i="6"/>
  <c r="O5" i="6"/>
  <c r="P5" i="6"/>
  <c r="Q5" i="6"/>
  <c r="R5" i="6"/>
  <c r="P6" i="6" l="1"/>
  <c r="N6" i="6"/>
  <c r="O6" i="6"/>
  <c r="Q6" i="6"/>
  <c r="R6" i="6"/>
  <c r="N12" i="6"/>
  <c r="O12" i="6"/>
  <c r="P12" i="6"/>
  <c r="Q12" i="6"/>
  <c r="R12" i="6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1" i="6"/>
  <c r="O11" i="6"/>
  <c r="P11" i="6"/>
  <c r="Q11" i="6"/>
  <c r="R11" i="6"/>
  <c r="N10" i="6"/>
  <c r="O10" i="6"/>
  <c r="P10" i="6"/>
  <c r="Q10" i="6"/>
  <c r="R10" i="6"/>
  <c r="V29" i="6"/>
  <c r="V28" i="6"/>
  <c r="V27" i="6"/>
  <c r="V26" i="6"/>
  <c r="V25" i="6"/>
  <c r="V24" i="6"/>
  <c r="V23" i="6"/>
  <c r="V22" i="6"/>
  <c r="V21" i="6"/>
  <c r="V20" i="6"/>
  <c r="V19" i="6"/>
  <c r="V30" i="6"/>
  <c r="V31" i="6"/>
  <c r="U30" i="6"/>
  <c r="U29" i="6"/>
  <c r="U28" i="6"/>
  <c r="U27" i="6"/>
  <c r="U26" i="6"/>
  <c r="U25" i="6"/>
  <c r="U24" i="6"/>
  <c r="U23" i="6"/>
  <c r="U22" i="6"/>
  <c r="U21" i="6"/>
  <c r="U20" i="6"/>
  <c r="U19" i="6"/>
  <c r="T30" i="6"/>
  <c r="T29" i="6"/>
  <c r="T28" i="6"/>
  <c r="T27" i="6"/>
  <c r="T26" i="6"/>
  <c r="T25" i="6"/>
  <c r="T24" i="6"/>
  <c r="T23" i="6"/>
  <c r="T22" i="6"/>
  <c r="T21" i="6"/>
  <c r="T20" i="6"/>
  <c r="T19" i="6"/>
  <c r="I9" i="6" l="1"/>
  <c r="E5" i="6"/>
  <c r="E6" i="6"/>
  <c r="E7" i="6"/>
  <c r="E8" i="6"/>
  <c r="E9" i="6"/>
  <c r="E10" i="6"/>
  <c r="E11" i="6"/>
  <c r="E12" i="6"/>
  <c r="E13" i="6"/>
  <c r="A1" i="7" l="1"/>
  <c r="A95" i="7"/>
  <c r="G67" i="7" l="1"/>
  <c r="A47" i="7"/>
  <c r="A70" i="7" l="1"/>
  <c r="G94" i="7"/>
  <c r="A94" i="7" s="1"/>
  <c r="C29" i="7" l="1"/>
  <c r="D29" i="7"/>
  <c r="E29" i="7"/>
  <c r="F29" i="7"/>
  <c r="H68" i="7"/>
  <c r="H74" i="7" l="1"/>
  <c r="F8" i="7"/>
  <c r="H47" i="7" s="1"/>
  <c r="H51" i="7"/>
  <c r="V37" i="6"/>
  <c r="V36" i="6"/>
  <c r="V35" i="6"/>
  <c r="V34" i="6"/>
  <c r="V33" i="6"/>
  <c r="V32" i="6"/>
  <c r="U37" i="6"/>
  <c r="U36" i="6"/>
  <c r="U35" i="6"/>
  <c r="U34" i="6"/>
  <c r="K13" i="6"/>
  <c r="U33" i="6"/>
  <c r="T34" i="6"/>
  <c r="U32" i="6"/>
  <c r="U31" i="6"/>
  <c r="T33" i="6"/>
  <c r="T32" i="6"/>
  <c r="J6" i="6"/>
  <c r="I6" i="6"/>
  <c r="T31" i="6"/>
  <c r="M5" i="6"/>
  <c r="M7" i="6"/>
  <c r="M8" i="6"/>
  <c r="M12" i="6"/>
  <c r="K5" i="6"/>
  <c r="K7" i="6"/>
  <c r="K8" i="6"/>
  <c r="K12" i="6"/>
  <c r="I5" i="6"/>
  <c r="I7" i="6"/>
  <c r="I8" i="6"/>
  <c r="I12" i="6"/>
  <c r="J5" i="6"/>
  <c r="J7" i="6"/>
  <c r="J8" i="6"/>
  <c r="J12" i="6"/>
  <c r="I13" i="6" l="1"/>
  <c r="G107" i="7" l="1"/>
  <c r="I107" i="7"/>
  <c r="C103" i="7" s="1"/>
  <c r="F17" i="7"/>
  <c r="L49" i="7" s="1"/>
  <c r="E17" i="7"/>
  <c r="K49" i="7" s="1"/>
  <c r="D17" i="7"/>
  <c r="J49" i="7" s="1"/>
  <c r="C17" i="7"/>
  <c r="I49" i="7" s="1"/>
  <c r="B17" i="7"/>
  <c r="H49" i="7" s="1"/>
  <c r="F12" i="7"/>
  <c r="F6" i="7"/>
  <c r="G108" i="7" l="1"/>
  <c r="H108" i="7" s="1"/>
  <c r="H107" i="7" s="1"/>
  <c r="B103" i="7"/>
  <c r="D34" i="7"/>
  <c r="A38" i="7"/>
  <c r="A35" i="7"/>
  <c r="B35" i="7"/>
  <c r="E34" i="7"/>
  <c r="B38" i="7"/>
  <c r="D39" i="7"/>
  <c r="E39" i="7"/>
  <c r="M107" i="7"/>
  <c r="K107" i="7"/>
  <c r="D103" i="7" s="1"/>
  <c r="N107" i="7" l="1"/>
  <c r="F103" i="7" s="1"/>
  <c r="E103" i="7"/>
  <c r="I108" i="7"/>
  <c r="J108" i="7" s="1"/>
  <c r="J107" i="7" s="1"/>
  <c r="M108" i="7"/>
  <c r="K108" i="7"/>
  <c r="L108" i="7" s="1"/>
  <c r="L107" i="7" s="1"/>
  <c r="C18" i="7"/>
  <c r="C46" i="7" s="1"/>
  <c r="I67" i="7" s="1"/>
  <c r="F11" i="7"/>
  <c r="F10" i="7"/>
  <c r="F7" i="7"/>
  <c r="C70" i="7" l="1"/>
  <c r="I94" i="7"/>
  <c r="I96" i="7" s="1"/>
  <c r="N108" i="7"/>
  <c r="F9" i="7"/>
  <c r="B18" i="7"/>
  <c r="B46" i="7" s="1"/>
  <c r="D18" i="7"/>
  <c r="D46" i="7" s="1"/>
  <c r="E18" i="7"/>
  <c r="E46" i="7" s="1"/>
  <c r="K67" i="7" s="1"/>
  <c r="F18" i="7"/>
  <c r="F46" i="7" s="1"/>
  <c r="L67" i="7" s="1"/>
  <c r="H67" i="7" l="1"/>
  <c r="H73" i="7" s="1"/>
  <c r="C94" i="7"/>
  <c r="E70" i="7"/>
  <c r="K94" i="7"/>
  <c r="K96" i="7" s="1"/>
  <c r="F70" i="7"/>
  <c r="L94" i="7"/>
  <c r="L96" i="7" s="1"/>
  <c r="J67" i="7"/>
  <c r="F20" i="7"/>
  <c r="B20" i="7"/>
  <c r="B47" i="7" s="1"/>
  <c r="D20" i="7"/>
  <c r="E20" i="7"/>
  <c r="C20" i="7"/>
  <c r="E102" i="7"/>
  <c r="C102" i="7"/>
  <c r="F102" i="7"/>
  <c r="N106" i="7" s="1"/>
  <c r="C10" i="7"/>
  <c r="H50" i="7" s="1"/>
  <c r="H94" i="7" l="1"/>
  <c r="H96" i="7" s="1"/>
  <c r="B70" i="7"/>
  <c r="M106" i="7"/>
  <c r="L106" i="7"/>
  <c r="I106" i="7"/>
  <c r="H106" i="7"/>
  <c r="D47" i="7"/>
  <c r="C47" i="7"/>
  <c r="F47" i="7"/>
  <c r="E47" i="7"/>
  <c r="F94" i="7"/>
  <c r="E94" i="7"/>
  <c r="D70" i="7"/>
  <c r="J94" i="7"/>
  <c r="J96" i="7" s="1"/>
  <c r="D102" i="7"/>
  <c r="I73" i="7"/>
  <c r="K73" i="7"/>
  <c r="L73" i="7"/>
  <c r="J73" i="7"/>
  <c r="H69" i="7"/>
  <c r="H48" i="7"/>
  <c r="L50" i="7"/>
  <c r="L52" i="7" s="1"/>
  <c r="F48" i="7" s="1"/>
  <c r="I50" i="7"/>
  <c r="I52" i="7" s="1"/>
  <c r="C48" i="7" s="1"/>
  <c r="J50" i="7"/>
  <c r="J52" i="7" s="1"/>
  <c r="D48" i="7" s="1"/>
  <c r="K50" i="7"/>
  <c r="K52" i="7" s="1"/>
  <c r="E48" i="7" s="1"/>
  <c r="B102" i="7"/>
  <c r="B94" i="7" l="1"/>
  <c r="H70" i="7"/>
  <c r="H52" i="7"/>
  <c r="K106" i="7"/>
  <c r="J106" i="7"/>
  <c r="D94" i="7"/>
  <c r="K72" i="7"/>
  <c r="K71" i="7"/>
  <c r="J72" i="7"/>
  <c r="J71" i="7"/>
  <c r="I71" i="7"/>
  <c r="I72" i="7"/>
  <c r="L71" i="7"/>
  <c r="L72" i="7"/>
  <c r="H75" i="7"/>
  <c r="H71" i="7" l="1"/>
  <c r="B48" i="7"/>
  <c r="K76" i="7"/>
  <c r="L76" i="7"/>
  <c r="J76" i="7"/>
  <c r="I76" i="7"/>
  <c r="H72" i="7"/>
  <c r="H76" i="7" l="1"/>
  <c r="H77" i="7" s="1"/>
  <c r="I77" i="7"/>
  <c r="L77" i="7"/>
  <c r="J77" i="7"/>
  <c r="K77" i="7"/>
  <c r="H95" i="7" l="1"/>
  <c r="H97" i="7" s="1"/>
  <c r="H98" i="7" s="1"/>
  <c r="I95" i="7"/>
  <c r="B71" i="7"/>
  <c r="J95" i="7"/>
  <c r="J97" i="7" s="1"/>
  <c r="J98" i="7" s="1"/>
  <c r="D95" i="7" s="1"/>
  <c r="K95" i="7"/>
  <c r="L95" i="7"/>
  <c r="L97" i="7" s="1"/>
  <c r="L98" i="7" s="1"/>
  <c r="F95" i="7" s="1"/>
  <c r="D71" i="7"/>
  <c r="K97" i="7"/>
  <c r="K98" i="7" s="1"/>
  <c r="E95" i="7" s="1"/>
  <c r="E71" i="7"/>
  <c r="A68" i="7"/>
  <c r="C71" i="7"/>
  <c r="F71" i="7"/>
  <c r="E104" i="7" l="1"/>
  <c r="E105" i="7" s="1"/>
  <c r="D104" i="7"/>
  <c r="D105" i="7" s="1"/>
  <c r="F104" i="7"/>
  <c r="F105" i="7" s="1"/>
  <c r="I97" i="7"/>
  <c r="I98" i="7" s="1"/>
  <c r="C95" i="7" s="1"/>
  <c r="B95" i="7"/>
  <c r="B104" i="7" l="1"/>
  <c r="B105" i="7" s="1"/>
  <c r="C104" i="7"/>
  <c r="C105" i="7" s="1"/>
  <c r="C98" i="7"/>
</calcChain>
</file>

<file path=xl/sharedStrings.xml><?xml version="1.0" encoding="utf-8"?>
<sst xmlns="http://schemas.openxmlformats.org/spreadsheetml/2006/main" count="180" uniqueCount="137">
  <si>
    <t xml:space="preserve">Désignation </t>
  </si>
  <si>
    <t>Marque</t>
  </si>
  <si>
    <t>Résolution à vide</t>
  </si>
  <si>
    <t xml:space="preserve">Ajustage automatique </t>
  </si>
  <si>
    <t>LABO_02</t>
  </si>
  <si>
    <t>LABO_04</t>
  </si>
  <si>
    <t>LABO_05</t>
  </si>
  <si>
    <t>LABO_06</t>
  </si>
  <si>
    <t>LABO_11</t>
  </si>
  <si>
    <t>LABO_12</t>
  </si>
  <si>
    <t>SARTORIUS</t>
  </si>
  <si>
    <t>0 g - 220 g</t>
  </si>
  <si>
    <t>OUI</t>
  </si>
  <si>
    <t>Marque :</t>
  </si>
  <si>
    <t>Fidélité</t>
  </si>
  <si>
    <t>Justesse</t>
  </si>
  <si>
    <t>Excentration</t>
  </si>
  <si>
    <t>Répétitions</t>
  </si>
  <si>
    <t>Centre</t>
  </si>
  <si>
    <t>Forme du plateau :</t>
  </si>
  <si>
    <t>Etendu maximale :</t>
  </si>
  <si>
    <t>Ajustage automatique :</t>
  </si>
  <si>
    <t xml:space="preserve">Balances </t>
  </si>
  <si>
    <t>Liste poids</t>
  </si>
  <si>
    <t>Désignation</t>
  </si>
  <si>
    <t>Résolution
mg</t>
  </si>
  <si>
    <t>Portée maximale
g</t>
  </si>
  <si>
    <t>Plage d'utilisation</t>
  </si>
  <si>
    <t>Résolution maximale :</t>
  </si>
  <si>
    <t>Plage d'utilisation :</t>
  </si>
  <si>
    <t>Répétabilité</t>
  </si>
  <si>
    <t>Température</t>
  </si>
  <si>
    <t>Température au début :</t>
  </si>
  <si>
    <t>Température à la fin :</t>
  </si>
  <si>
    <t>Résolution en charge</t>
  </si>
  <si>
    <t>u(Ei)</t>
  </si>
  <si>
    <t>Coefficient de variation  :</t>
  </si>
  <si>
    <t>Incertitude étalon</t>
  </si>
  <si>
    <t>Valeur recommandée</t>
  </si>
  <si>
    <t>Nombre d'échellon</t>
  </si>
  <si>
    <t>Avec QI</t>
  </si>
  <si>
    <t>Sans QI</t>
  </si>
  <si>
    <t>Au-delà</t>
  </si>
  <si>
    <t>METTLER</t>
  </si>
  <si>
    <t>NON</t>
  </si>
  <si>
    <t>0 g - 205 g</t>
  </si>
  <si>
    <t>0 g - 810 g</t>
  </si>
  <si>
    <t xml:space="preserve">0 g - 210 g </t>
  </si>
  <si>
    <t>PB200</t>
  </si>
  <si>
    <t>Valeur "vraie"
g</t>
  </si>
  <si>
    <t>Incertitude
mg</t>
  </si>
  <si>
    <t>PB1</t>
  </si>
  <si>
    <t>Valeur affichée (g)</t>
  </si>
  <si>
    <t>Position</t>
  </si>
  <si>
    <t>M.V. de l'air</t>
  </si>
  <si>
    <t>U(IP) (mg)</t>
  </si>
  <si>
    <t>Pérennité de l'Ei</t>
  </si>
  <si>
    <t>Coeff. de variation
 /°C</t>
  </si>
  <si>
    <t>Poids utilisés</t>
  </si>
  <si>
    <t>EMT (mg)</t>
  </si>
  <si>
    <t>Statue</t>
  </si>
  <si>
    <t>Aide au tracé</t>
  </si>
  <si>
    <t>Rond</t>
  </si>
  <si>
    <t>Formate plateau</t>
  </si>
  <si>
    <t>Carré</t>
  </si>
  <si>
    <t>ZB94K</t>
  </si>
  <si>
    <t>ZB28K</t>
  </si>
  <si>
    <t>ZB29K</t>
  </si>
  <si>
    <t>ZB92D</t>
  </si>
  <si>
    <t>ZB56G</t>
  </si>
  <si>
    <t>ZB43N</t>
  </si>
  <si>
    <t>ZB44N</t>
  </si>
  <si>
    <t>ZB39H</t>
  </si>
  <si>
    <t>ZB77M</t>
  </si>
  <si>
    <t>ZB90M</t>
  </si>
  <si>
    <t>ZB91M</t>
  </si>
  <si>
    <t>ZB94D</t>
  </si>
  <si>
    <t>0 g - 1 000 g</t>
  </si>
  <si>
    <t>Valeur de masses conventionnelles de  poids</t>
  </si>
  <si>
    <t>ZB77M/ZB39H</t>
  </si>
  <si>
    <t>ZB90M/ZB91M</t>
  </si>
  <si>
    <t>ZB94D/ZB77M</t>
  </si>
  <si>
    <t>ZB94D/ZB90M/ZB77M</t>
  </si>
  <si>
    <t>ZB90M/ZB39H</t>
  </si>
  <si>
    <t>ZB94D/ZB90M/ZB39H</t>
  </si>
  <si>
    <t>ZB94D/ZB90M/ZB91M</t>
  </si>
  <si>
    <t>u(Ei) (mg)</t>
  </si>
  <si>
    <t>U(Ei) (mg)</t>
  </si>
  <si>
    <t>Masse (g)</t>
  </si>
  <si>
    <t xml:space="preserve">Résultats expérimentaux </t>
  </si>
  <si>
    <t>Informations diverse</t>
  </si>
  <si>
    <t>Phase 1 : Incertitude de l'erreur d'indication</t>
  </si>
  <si>
    <t>Equation d'interpolation de l'incertitude élargie  sans correction de l'erreur d'indication :</t>
  </si>
  <si>
    <t xml:space="preserve">Etape A : Résultat d'étalonnage de l'instrument </t>
  </si>
  <si>
    <t>Valeur nominale (g)</t>
  </si>
  <si>
    <t xml:space="preserve">Ej (mg) </t>
  </si>
  <si>
    <t xml:space="preserve">Valeur lue (g) </t>
  </si>
  <si>
    <t xml:space="preserve">Valeur "vraie" (g) </t>
  </si>
  <si>
    <t xml:space="preserve">Abs(I-Ic)  (g) </t>
  </si>
  <si>
    <t>Désignation étalons</t>
  </si>
  <si>
    <t>Phase 2 : Incertitude de l'instrument de pesage</t>
  </si>
  <si>
    <t>u(IP) (mg)</t>
  </si>
  <si>
    <t>U(IP) obtenue (mg)</t>
  </si>
  <si>
    <t xml:space="preserve">Etape B : Pesage d'un corps </t>
  </si>
  <si>
    <t>Incertitude de la masse pesée</t>
  </si>
  <si>
    <t>u(IP)</t>
  </si>
  <si>
    <t xml:space="preserve">Correction poussée de l'air </t>
  </si>
  <si>
    <t>u(M)</t>
  </si>
  <si>
    <t>U(M) (mg)</t>
  </si>
  <si>
    <t>0-1</t>
  </si>
  <si>
    <t>1-2</t>
  </si>
  <si>
    <t>2-3</t>
  </si>
  <si>
    <t>3-4</t>
  </si>
  <si>
    <t>4-5</t>
  </si>
  <si>
    <t>Environnementales</t>
  </si>
  <si>
    <t>Balance</t>
  </si>
  <si>
    <t>Variation temp. durant l'étalonnage :</t>
  </si>
  <si>
    <t>Variation temp. dans le laboratoire :</t>
  </si>
  <si>
    <t>Confirmation métrologique</t>
  </si>
  <si>
    <t>|Ej| + U(M)    (mg)</t>
  </si>
  <si>
    <t>LABO_10 (0-60 g)</t>
  </si>
  <si>
    <t>LABO_10 (60-120 g)</t>
  </si>
  <si>
    <t>LABO_10 (120-220 g)</t>
  </si>
  <si>
    <t>ZB39H/ZB92D</t>
  </si>
  <si>
    <t>ZB43N/ZB44N</t>
  </si>
  <si>
    <t>ZB43N/ZB56G</t>
  </si>
  <si>
    <t>ZB39H/ZB56G</t>
  </si>
  <si>
    <t>ZB77M/ZB92D</t>
  </si>
  <si>
    <t>ZB39H/ZB43N/ZB44N</t>
  </si>
  <si>
    <t>ZB39H/ZB43N/ZB92D</t>
  </si>
  <si>
    <t>ZB77M/ZB44N</t>
  </si>
  <si>
    <t>ZB77M/ZB39H/ZB56G</t>
  </si>
  <si>
    <t>ZB91M/ZB56G/ZB92D</t>
  </si>
  <si>
    <t>ZB77M/ZB56G/ZB92D</t>
  </si>
  <si>
    <t>ZB77M/ZB43N/ZB44N</t>
  </si>
  <si>
    <t>On  considère que la masse volumique des corps pesées est inférieures à  2500 kg/m3 
et que la correction de poussée de l'air est négligée.</t>
  </si>
  <si>
    <t xml:space="preserve"> --&gt; u (ncpa) /x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</si>
</sst>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General&quot; g&quot;"/>
    <numFmt numFmtId="165" formatCode="General&quot; mg&quot;"/>
    <numFmt numFmtId="166" formatCode="0.0000"/>
    <numFmt numFmtId="167" formatCode="General&quot; °C&quot;"/>
    <numFmt numFmtId="168" formatCode="General&quot; /°C&quot;"/>
    <numFmt numFmtId="169" formatCode="_-* #,##0.00\ _F_-;\-* #,##0.00\ _F_-;_-* &quot;-&quot;??\ _F_-;_-@_-"/>
    <numFmt numFmtId="171" formatCode="0.000"/>
    <numFmt numFmtId="172" formatCode="0.00000"/>
    <numFmt numFmtId="173" formatCode="&quot;Certificat d'étalonnage du &quot;d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/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dashed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499984740745262"/>
      </right>
      <top/>
      <bottom style="dashed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dashed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ashed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2" fillId="0" borderId="0"/>
    <xf numFmtId="16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3">
    <xf numFmtId="0" fontId="0" fillId="0" borderId="0" xfId="0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14" xfId="0" applyNumberFormat="1" applyBorder="1" applyProtection="1">
      <protection locked="0"/>
    </xf>
    <xf numFmtId="167" fontId="0" fillId="0" borderId="20" xfId="0" applyNumberFormat="1" applyBorder="1" applyProtection="1">
      <protection locked="0"/>
    </xf>
    <xf numFmtId="0" fontId="3" fillId="0" borderId="0" xfId="1" applyFont="1" applyFill="1" applyAlignment="1" applyProtection="1">
      <alignment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1" fontId="0" fillId="0" borderId="19" xfId="0" applyNumberFormat="1" applyBorder="1" applyAlignment="1">
      <alignment horizontal="center" vertical="center"/>
    </xf>
    <xf numFmtId="11" fontId="0" fillId="0" borderId="20" xfId="0" applyNumberFormat="1" applyBorder="1" applyAlignment="1">
      <alignment horizontal="center" vertical="center"/>
    </xf>
    <xf numFmtId="11" fontId="0" fillId="0" borderId="16" xfId="0" applyNumberFormat="1" applyBorder="1" applyAlignment="1">
      <alignment horizontal="center" vertical="center"/>
    </xf>
    <xf numFmtId="11" fontId="0" fillId="0" borderId="17" xfId="0" applyNumberFormat="1" applyBorder="1" applyAlignment="1">
      <alignment horizontal="center" vertical="center"/>
    </xf>
    <xf numFmtId="167" fontId="0" fillId="0" borderId="17" xfId="0" applyNumberFormat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4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167" fontId="0" fillId="0" borderId="20" xfId="0" applyNumberFormat="1" applyBorder="1" applyProtection="1"/>
    <xf numFmtId="0" fontId="0" fillId="0" borderId="17" xfId="0" applyBorder="1" applyAlignment="1" applyProtection="1">
      <alignment horizontal="center"/>
    </xf>
    <xf numFmtId="0" fontId="0" fillId="0" borderId="12" xfId="0" applyBorder="1" applyProtection="1"/>
    <xf numFmtId="0" fontId="0" fillId="0" borderId="18" xfId="0" applyBorder="1" applyProtection="1"/>
    <xf numFmtId="0" fontId="0" fillId="0" borderId="15" xfId="0" applyBorder="1" applyProtection="1"/>
    <xf numFmtId="0" fontId="0" fillId="0" borderId="2" xfId="0" applyBorder="1" applyProtection="1"/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Protection="1"/>
    <xf numFmtId="0" fontId="1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Protection="1"/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Protection="1"/>
    <xf numFmtId="0" fontId="0" fillId="0" borderId="6" xfId="0" applyBorder="1" applyProtection="1"/>
    <xf numFmtId="0" fontId="1" fillId="0" borderId="1" xfId="0" applyFont="1" applyBorder="1" applyProtection="1"/>
    <xf numFmtId="0" fontId="1" fillId="0" borderId="3" xfId="0" applyFont="1" applyBorder="1" applyAlignment="1" applyProtection="1">
      <alignment horizontal="left"/>
    </xf>
    <xf numFmtId="0" fontId="0" fillId="0" borderId="1" xfId="0" applyBorder="1" applyProtection="1"/>
    <xf numFmtId="0" fontId="1" fillId="0" borderId="8" xfId="0" applyFont="1" applyBorder="1" applyProtection="1"/>
    <xf numFmtId="0" fontId="1" fillId="0" borderId="2" xfId="0" applyFont="1" applyBorder="1" applyProtection="1"/>
    <xf numFmtId="0" fontId="0" fillId="0" borderId="0" xfId="0" applyAlignment="1" applyProtection="1">
      <alignment vertical="center" wrapText="1"/>
    </xf>
    <xf numFmtId="0" fontId="1" fillId="0" borderId="10" xfId="0" applyFont="1" applyBorder="1" applyAlignment="1" applyProtection="1">
      <alignment horizontal="left"/>
    </xf>
    <xf numFmtId="0" fontId="1" fillId="0" borderId="11" xfId="0" applyFont="1" applyBorder="1" applyProtection="1"/>
    <xf numFmtId="0" fontId="1" fillId="0" borderId="0" xfId="0" applyFont="1" applyProtection="1"/>
    <xf numFmtId="0" fontId="0" fillId="0" borderId="21" xfId="0" applyBorder="1" applyProtection="1"/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1" fillId="6" borderId="27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center" vertical="center"/>
    </xf>
    <xf numFmtId="171" fontId="0" fillId="0" borderId="29" xfId="0" applyNumberForma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171" fontId="0" fillId="0" borderId="20" xfId="0" applyNumberFormat="1" applyBorder="1" applyAlignment="1">
      <alignment horizontal="center" vertical="center"/>
    </xf>
    <xf numFmtId="171" fontId="0" fillId="6" borderId="29" xfId="0" applyNumberFormat="1" applyFill="1" applyBorder="1" applyAlignment="1">
      <alignment horizontal="center" vertical="center"/>
    </xf>
    <xf numFmtId="171" fontId="0" fillId="0" borderId="17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left"/>
    </xf>
    <xf numFmtId="172" fontId="0" fillId="0" borderId="16" xfId="0" applyNumberFormat="1" applyBorder="1" applyAlignment="1" applyProtection="1">
      <alignment horizontal="center"/>
      <protection locked="0"/>
    </xf>
    <xf numFmtId="172" fontId="0" fillId="0" borderId="17" xfId="0" applyNumberFormat="1" applyBorder="1" applyAlignment="1" applyProtection="1">
      <alignment horizontal="center"/>
      <protection locked="0"/>
    </xf>
    <xf numFmtId="172" fontId="0" fillId="0" borderId="19" xfId="0" applyNumberFormat="1" applyBorder="1" applyAlignment="1" applyProtection="1">
      <alignment horizontal="center"/>
      <protection locked="0"/>
    </xf>
    <xf numFmtId="172" fontId="0" fillId="0" borderId="20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</xf>
    <xf numFmtId="2" fontId="0" fillId="0" borderId="17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vertical="top"/>
    </xf>
    <xf numFmtId="172" fontId="0" fillId="0" borderId="16" xfId="0" applyNumberFormat="1" applyBorder="1" applyAlignment="1" applyProtection="1">
      <alignment horizontal="center"/>
    </xf>
    <xf numFmtId="172" fontId="0" fillId="0" borderId="17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left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2" fontId="0" fillId="0" borderId="13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0" fillId="0" borderId="57" xfId="3" applyFont="1" applyBorder="1" applyAlignment="1">
      <alignment horizontal="center" vertical="center"/>
    </xf>
    <xf numFmtId="49" fontId="0" fillId="0" borderId="57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right" vertical="center"/>
    </xf>
    <xf numFmtId="164" fontId="0" fillId="0" borderId="20" xfId="0" applyNumberFormat="1" applyBorder="1" applyAlignment="1" applyProtection="1">
      <alignment horizontal="right" vertical="center"/>
    </xf>
    <xf numFmtId="165" fontId="0" fillId="0" borderId="20" xfId="0" applyNumberFormat="1" applyBorder="1" applyAlignment="1" applyProtection="1">
      <alignment horizontal="right" vertical="center"/>
    </xf>
    <xf numFmtId="168" fontId="0" fillId="0" borderId="20" xfId="0" applyNumberFormat="1" applyBorder="1" applyAlignment="1" applyProtection="1">
      <alignment horizontal="right" vertical="center"/>
    </xf>
    <xf numFmtId="0" fontId="0" fillId="0" borderId="20" xfId="0" applyNumberForma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/>
    </xf>
    <xf numFmtId="0" fontId="9" fillId="0" borderId="0" xfId="0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13" fillId="0" borderId="0" xfId="0" applyFont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top" wrapText="1"/>
    </xf>
    <xf numFmtId="0" fontId="6" fillId="0" borderId="0" xfId="0" applyFont="1" applyProtection="1"/>
    <xf numFmtId="0" fontId="6" fillId="0" borderId="0" xfId="0" applyFont="1" applyFill="1" applyProtection="1"/>
    <xf numFmtId="0" fontId="6" fillId="0" borderId="0" xfId="0" applyFont="1" applyBorder="1" applyProtection="1"/>
    <xf numFmtId="0" fontId="6" fillId="0" borderId="18" xfId="0" applyFont="1" applyBorder="1" applyProtection="1"/>
    <xf numFmtId="166" fontId="6" fillId="0" borderId="19" xfId="0" applyNumberFormat="1" applyFont="1" applyBorder="1" applyAlignment="1" applyProtection="1">
      <alignment horizontal="center" vertical="center"/>
    </xf>
    <xf numFmtId="166" fontId="6" fillId="0" borderId="20" xfId="0" applyNumberFormat="1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vertical="center"/>
    </xf>
    <xf numFmtId="0" fontId="6" fillId="0" borderId="21" xfId="0" applyFont="1" applyBorder="1" applyProtection="1"/>
    <xf numFmtId="166" fontId="6" fillId="0" borderId="22" xfId="0" applyNumberFormat="1" applyFont="1" applyBorder="1" applyAlignment="1" applyProtection="1">
      <alignment horizontal="center"/>
    </xf>
    <xf numFmtId="166" fontId="6" fillId="0" borderId="23" xfId="0" applyNumberFormat="1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166" fontId="6" fillId="0" borderId="19" xfId="0" applyNumberFormat="1" applyFont="1" applyBorder="1" applyAlignment="1" applyProtection="1">
      <alignment horizontal="center"/>
    </xf>
    <xf numFmtId="166" fontId="6" fillId="0" borderId="20" xfId="0" applyNumberFormat="1" applyFont="1" applyBorder="1" applyAlignment="1" applyProtection="1">
      <alignment horizontal="center"/>
    </xf>
    <xf numFmtId="0" fontId="6" fillId="0" borderId="24" xfId="0" applyFont="1" applyBorder="1" applyProtection="1"/>
    <xf numFmtId="0" fontId="6" fillId="0" borderId="35" xfId="0" applyFont="1" applyBorder="1" applyProtection="1"/>
    <xf numFmtId="166" fontId="6" fillId="0" borderId="36" xfId="0" applyNumberFormat="1" applyFont="1" applyBorder="1" applyAlignment="1" applyProtection="1">
      <alignment horizontal="center"/>
    </xf>
    <xf numFmtId="166" fontId="6" fillId="0" borderId="37" xfId="0" applyNumberFormat="1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2" fontId="6" fillId="0" borderId="16" xfId="0" applyNumberFormat="1" applyFont="1" applyBorder="1" applyAlignment="1" applyProtection="1">
      <alignment horizontal="center"/>
    </xf>
    <xf numFmtId="2" fontId="6" fillId="0" borderId="17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1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11" fontId="6" fillId="0" borderId="0" xfId="0" applyNumberFormat="1" applyFont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6" fillId="0" borderId="48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166" fontId="6" fillId="0" borderId="19" xfId="0" applyNumberFormat="1" applyFont="1" applyBorder="1" applyAlignment="1" applyProtection="1">
      <alignment horizontal="center"/>
    </xf>
    <xf numFmtId="0" fontId="0" fillId="0" borderId="28" xfId="0" applyFill="1" applyBorder="1" applyAlignment="1">
      <alignment horizontal="center" vertical="center"/>
    </xf>
    <xf numFmtId="171" fontId="0" fillId="0" borderId="29" xfId="0" applyNumberForma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166" fontId="6" fillId="0" borderId="19" xfId="0" applyNumberFormat="1" applyFont="1" applyBorder="1" applyAlignment="1" applyProtection="1">
      <alignment horizontal="center" vertical="center"/>
    </xf>
    <xf numFmtId="166" fontId="6" fillId="0" borderId="20" xfId="0" applyNumberFormat="1" applyFont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top"/>
    </xf>
    <xf numFmtId="0" fontId="0" fillId="0" borderId="59" xfId="0" applyFill="1" applyBorder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166" fontId="6" fillId="0" borderId="19" xfId="0" applyNumberFormat="1" applyFont="1" applyBorder="1" applyAlignment="1" applyProtection="1">
      <alignment horizontal="center"/>
    </xf>
    <xf numFmtId="166" fontId="6" fillId="0" borderId="20" xfId="0" applyNumberFormat="1" applyFont="1" applyBorder="1" applyAlignment="1" applyProtection="1">
      <alignment horizontal="center"/>
    </xf>
    <xf numFmtId="166" fontId="6" fillId="0" borderId="25" xfId="0" applyNumberFormat="1" applyFont="1" applyBorder="1" applyAlignment="1" applyProtection="1">
      <alignment horizontal="center"/>
    </xf>
    <xf numFmtId="166" fontId="6" fillId="0" borderId="26" xfId="0" applyNumberFormat="1" applyFont="1" applyBorder="1" applyAlignment="1" applyProtection="1">
      <alignment horizontal="center"/>
    </xf>
    <xf numFmtId="11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6" fontId="6" fillId="0" borderId="31" xfId="0" applyNumberFormat="1" applyFont="1" applyBorder="1" applyAlignment="1" applyProtection="1">
      <alignment horizontal="center" vertical="center"/>
    </xf>
    <xf numFmtId="166" fontId="6" fillId="0" borderId="30" xfId="0" applyNumberFormat="1" applyFont="1" applyBorder="1" applyAlignment="1" applyProtection="1">
      <alignment horizontal="center" vertical="center"/>
    </xf>
    <xf numFmtId="166" fontId="6" fillId="0" borderId="32" xfId="0" applyNumberFormat="1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horizontal="center" wrapText="1"/>
    </xf>
    <xf numFmtId="0" fontId="0" fillId="0" borderId="34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173" fontId="8" fillId="0" borderId="0" xfId="0" applyNumberFormat="1" applyFont="1" applyAlignment="1" applyProtection="1">
      <alignment horizontal="center"/>
    </xf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6" fillId="0" borderId="4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2" fillId="5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4">
    <cellStyle name="Milliers 2" xfId="2"/>
    <cellStyle name="Normal" xfId="0" builtinId="0"/>
    <cellStyle name="Normal 2" xfId="1"/>
    <cellStyle name="Pourcentage" xfId="3" builtinId="5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9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6BCEA"/>
      <color rgb="FFEADCF4"/>
      <color rgb="FF00FF00"/>
      <color rgb="FFCFB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15455189763004E-2"/>
          <c:y val="2.9232158988256551E-2"/>
          <c:w val="0.87978395133842691"/>
          <c:h val="0.95118671663368282"/>
        </c:manualLayout>
      </c:layout>
      <c:scatterChart>
        <c:scatterStyle val="smoothMarker"/>
        <c:varyColors val="0"/>
        <c:ser>
          <c:idx val="2"/>
          <c:order val="3"/>
          <c:tx>
            <c:strRef>
              <c:f>'Résultats d''étalonnage'!$B$16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d''étalonnage'!$B$95</c:f>
                <c:numCache>
                  <c:formatCode>General</c:formatCode>
                  <c:ptCount val="1"/>
                  <c:pt idx="0">
                    <c:v>0.08</c:v>
                  </c:pt>
                </c:numCache>
              </c:numRef>
            </c:plus>
            <c:minus>
              <c:numRef>
                <c:f>'Résultats d''étalonnage'!$B$95</c:f>
                <c:numCache>
                  <c:formatCode>General</c:formatCode>
                  <c:ptCount val="1"/>
                  <c:pt idx="0">
                    <c:v>0.08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'Résultats d''étalonnage'!$B$18</c:f>
              <c:numCache>
                <c:formatCode>General</c:formatCode>
                <c:ptCount val="1"/>
                <c:pt idx="0">
                  <c:v>0.20000080000000001</c:v>
                </c:pt>
              </c:numCache>
            </c:numRef>
          </c:xVal>
          <c:yVal>
            <c:numRef>
              <c:f>'Résultats d''étalonnage'!$B$20</c:f>
              <c:numCache>
                <c:formatCode>General</c:formatCode>
                <c:ptCount val="1"/>
                <c:pt idx="0">
                  <c:v>-7.9999999999524896E-4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1D-4AC5-92EF-91097386F4E8}"/>
            </c:ext>
          </c:extLst>
        </c:ser>
        <c:ser>
          <c:idx val="3"/>
          <c:order val="4"/>
          <c:tx>
            <c:strRef>
              <c:f>'Résultats d''étalonnage'!$C$16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d''étalonnage'!$C$95</c:f>
                <c:numCache>
                  <c:formatCode>General</c:formatCode>
                  <c:ptCount val="1"/>
                  <c:pt idx="0">
                    <c:v>3.01</c:v>
                  </c:pt>
                </c:numCache>
              </c:numRef>
            </c:plus>
            <c:minus>
              <c:numRef>
                <c:f>'Résultats d''étalonnage'!$C$95</c:f>
                <c:numCache>
                  <c:formatCode>General</c:formatCode>
                  <c:ptCount val="1"/>
                  <c:pt idx="0">
                    <c:v>3.01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'Résultats d''étalonnage'!$C$18</c:f>
              <c:numCache>
                <c:formatCode>General</c:formatCode>
                <c:ptCount val="1"/>
                <c:pt idx="0">
                  <c:v>10.000024</c:v>
                </c:pt>
              </c:numCache>
            </c:numRef>
          </c:xVal>
          <c:yVal>
            <c:numRef>
              <c:f>'Résultats d''étalonnage'!$C$20</c:f>
              <c:numCache>
                <c:formatCode>General</c:formatCode>
                <c:ptCount val="1"/>
                <c:pt idx="0">
                  <c:v>4.5999999999324359E-2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1D-4AC5-92EF-91097386F4E8}"/>
            </c:ext>
          </c:extLst>
        </c:ser>
        <c:ser>
          <c:idx val="4"/>
          <c:order val="5"/>
          <c:tx>
            <c:strRef>
              <c:f>'Résultats d''étalonnage'!$D$16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d''étalonnage'!$D$95</c:f>
                <c:numCache>
                  <c:formatCode>General</c:formatCode>
                  <c:ptCount val="1"/>
                  <c:pt idx="0">
                    <c:v>9.01</c:v>
                  </c:pt>
                </c:numCache>
              </c:numRef>
            </c:plus>
            <c:minus>
              <c:numRef>
                <c:f>'Résultats d''étalonnage'!$D$95</c:f>
                <c:numCache>
                  <c:formatCode>General</c:formatCode>
                  <c:ptCount val="1"/>
                  <c:pt idx="0">
                    <c:v>9.01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'Résultats d''étalonnage'!$D$18</c:f>
              <c:numCache>
                <c:formatCode>General</c:formatCode>
                <c:ptCount val="1"/>
                <c:pt idx="0">
                  <c:v>29.999987999999998</c:v>
                </c:pt>
              </c:numCache>
            </c:numRef>
          </c:xVal>
          <c:yVal>
            <c:numRef>
              <c:f>'Résultats d''étalonnage'!$D$20</c:f>
              <c:numCache>
                <c:formatCode>General</c:formatCode>
                <c:ptCount val="1"/>
                <c:pt idx="0">
                  <c:v>5.2000000000163027E-2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1D-4AC5-92EF-91097386F4E8}"/>
            </c:ext>
          </c:extLst>
        </c:ser>
        <c:ser>
          <c:idx val="5"/>
          <c:order val="6"/>
          <c:tx>
            <c:strRef>
              <c:f>'Résultats d''étalonnage'!$E$16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d''étalonnage'!$E$95</c:f>
                <c:numCache>
                  <c:formatCode>General</c:formatCode>
                  <c:ptCount val="1"/>
                  <c:pt idx="0">
                    <c:v>12.01</c:v>
                  </c:pt>
                </c:numCache>
              </c:numRef>
            </c:plus>
            <c:minus>
              <c:numRef>
                <c:f>'Résultats d''étalonnage'!$E$95</c:f>
                <c:numCache>
                  <c:formatCode>General</c:formatCode>
                  <c:ptCount val="1"/>
                  <c:pt idx="0">
                    <c:v>12.01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'Résultats d''étalonnage'!$E$18</c:f>
              <c:numCache>
                <c:formatCode>General</c:formatCode>
                <c:ptCount val="1"/>
                <c:pt idx="0">
                  <c:v>39.999976000000004</c:v>
                </c:pt>
              </c:numCache>
            </c:numRef>
          </c:xVal>
          <c:yVal>
            <c:numRef>
              <c:f>'Résultats d''étalonnage'!$E$20</c:f>
              <c:numCache>
                <c:formatCode>General</c:formatCode>
                <c:ptCount val="1"/>
                <c:pt idx="0">
                  <c:v>8.3999999993977781E-2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1D-4AC5-92EF-91097386F4E8}"/>
            </c:ext>
          </c:extLst>
        </c:ser>
        <c:ser>
          <c:idx val="6"/>
          <c:order val="7"/>
          <c:tx>
            <c:strRef>
              <c:f>'Résultats d''étalonnage'!$F$16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d''étalonnage'!$F$95</c:f>
                <c:numCache>
                  <c:formatCode>General</c:formatCode>
                  <c:ptCount val="1"/>
                  <c:pt idx="0">
                    <c:v>16.510000000000002</c:v>
                  </c:pt>
                </c:numCache>
              </c:numRef>
            </c:plus>
            <c:minus>
              <c:numRef>
                <c:f>'Résultats d''étalonnage'!$F$95</c:f>
                <c:numCache>
                  <c:formatCode>General</c:formatCode>
                  <c:ptCount val="1"/>
                  <c:pt idx="0">
                    <c:v>16.510000000000002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'Résultats d''étalonnage'!$F$18</c:f>
              <c:numCache>
                <c:formatCode>General</c:formatCode>
                <c:ptCount val="1"/>
                <c:pt idx="0">
                  <c:v>55.000014999999998</c:v>
                </c:pt>
              </c:numCache>
            </c:numRef>
          </c:xVal>
          <c:yVal>
            <c:numRef>
              <c:f>'Résultats d''étalonnage'!$F$20</c:f>
              <c:numCache>
                <c:formatCode>General</c:formatCode>
                <c:ptCount val="1"/>
                <c:pt idx="0">
                  <c:v>6.4999999999315605E-2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1D-4AC5-92EF-91097386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scatterChart>
        <c:scatterStyle val="lineMarker"/>
        <c:varyColors val="0"/>
        <c:ser>
          <c:idx val="7"/>
          <c:order val="0"/>
          <c:tx>
            <c:v>Erreur de Justesse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'Résultats d''étalonnage'!$B$46:$F$46</c:f>
              <c:numCache>
                <c:formatCode>0.00</c:formatCode>
                <c:ptCount val="5"/>
                <c:pt idx="0">
                  <c:v>0.2</c:v>
                </c:pt>
                <c:pt idx="1">
                  <c:v>10</c:v>
                </c:pt>
                <c:pt idx="2">
                  <c:v>30</c:v>
                </c:pt>
                <c:pt idx="3">
                  <c:v>40</c:v>
                </c:pt>
                <c:pt idx="4">
                  <c:v>55</c:v>
                </c:pt>
              </c:numCache>
            </c:numRef>
          </c:xVal>
          <c:yVal>
            <c:numRef>
              <c:f>'Résultats d''étalonnage'!$B$20:$F$20</c:f>
              <c:numCache>
                <c:formatCode>General</c:formatCode>
                <c:ptCount val="5"/>
                <c:pt idx="0">
                  <c:v>-7.9999999999524896E-4</c:v>
                </c:pt>
                <c:pt idx="1">
                  <c:v>4.5999999999324359E-2</c:v>
                </c:pt>
                <c:pt idx="2">
                  <c:v>5.2000000000163027E-2</c:v>
                </c:pt>
                <c:pt idx="3">
                  <c:v>8.3999999993977781E-2</c:v>
                </c:pt>
                <c:pt idx="4">
                  <c:v>6.4999999999315605E-2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A1D-4AC5-92EF-91097386F4E8}"/>
            </c:ext>
          </c:extLst>
        </c:ser>
        <c:ser>
          <c:idx val="0"/>
          <c:order val="1"/>
          <c:tx>
            <c:v>EMT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'Résultats d''étalonnage'!$G$106:$N$106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40</c:v>
                </c:pt>
                <c:pt idx="7">
                  <c:v>55</c:v>
                </c:pt>
              </c:numCache>
            </c:numRef>
          </c:xVal>
          <c:yVal>
            <c:numRef>
              <c:f>'Résultats d''étalonnage'!$G$107:$N$107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D-4AC5-92EF-91097386F4E8}"/>
            </c:ext>
          </c:extLst>
        </c:ser>
        <c:ser>
          <c:idx val="1"/>
          <c:order val="2"/>
          <c:tx>
            <c:v>EMT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'Résultats d''étalonnage'!$G$106:$N$106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40</c:v>
                </c:pt>
                <c:pt idx="7">
                  <c:v>55</c:v>
                </c:pt>
              </c:numCache>
            </c:numRef>
          </c:xVal>
          <c:yVal>
            <c:numRef>
              <c:f>'Résultats d''étalonnage'!$G$108:$N$108</c:f>
              <c:numCache>
                <c:formatCode>General</c:formatCode>
                <c:ptCount val="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1D-4AC5-92EF-91097386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valAx>
        <c:axId val="424799128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119496"/>
        <c:crosses val="autoZero"/>
        <c:crossBetween val="midCat"/>
      </c:valAx>
      <c:valAx>
        <c:axId val="552119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99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9388692882232453"/>
          <c:y val="0.91709180737434559"/>
          <c:w val="0.48850674081170115"/>
          <c:h val="8.1753764519272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15455189763004E-2"/>
          <c:y val="2.9232158988256551E-2"/>
          <c:w val="0.87978395133842691"/>
          <c:h val="0.95118671663368282"/>
        </c:manualLayout>
      </c:layout>
      <c:scatterChart>
        <c:scatterStyle val="smoothMarker"/>
        <c:varyColors val="0"/>
        <c:ser>
          <c:idx val="2"/>
          <c:order val="1"/>
          <c:tx>
            <c:strRef>
              <c:f>'Résultats d''étalonnage'!$B$16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d''étalonnage'!$B$48</c:f>
                <c:numCache>
                  <c:formatCode>General</c:formatCode>
                  <c:ptCount val="1"/>
                  <c:pt idx="0">
                    <c:v>0.03</c:v>
                  </c:pt>
                </c:numCache>
              </c:numRef>
            </c:plus>
            <c:minus>
              <c:numRef>
                <c:f>'Résultats d''étalonnage'!$B$48</c:f>
                <c:numCache>
                  <c:formatCode>General</c:formatCode>
                  <c:ptCount val="1"/>
                  <c:pt idx="0">
                    <c:v>0.03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'Résultats d''étalonnage'!$B$18</c:f>
              <c:numCache>
                <c:formatCode>General</c:formatCode>
                <c:ptCount val="1"/>
                <c:pt idx="0">
                  <c:v>0.20000080000000001</c:v>
                </c:pt>
              </c:numCache>
            </c:numRef>
          </c:xVal>
          <c:yVal>
            <c:numRef>
              <c:f>'Résultats d''étalonnage'!$B$20</c:f>
              <c:numCache>
                <c:formatCode>General</c:formatCode>
                <c:ptCount val="1"/>
                <c:pt idx="0">
                  <c:v>-7.9999999999524896E-4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BD-4796-BFA5-C7937BE85B6B}"/>
            </c:ext>
          </c:extLst>
        </c:ser>
        <c:ser>
          <c:idx val="3"/>
          <c:order val="2"/>
          <c:tx>
            <c:strRef>
              <c:f>'Résultats d''étalonnage'!$C$16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d''étalonnage'!$C$48</c:f>
                <c:numCache>
                  <c:formatCode>General</c:formatCode>
                  <c:ptCount val="1"/>
                  <c:pt idx="0">
                    <c:v>0.04</c:v>
                  </c:pt>
                </c:numCache>
              </c:numRef>
            </c:plus>
            <c:minus>
              <c:numRef>
                <c:f>'Résultats d''étalonnage'!$C$48</c:f>
                <c:numCache>
                  <c:formatCode>General</c:formatCode>
                  <c:ptCount val="1"/>
                  <c:pt idx="0">
                    <c:v>0.04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'Résultats d''étalonnage'!$C$18</c:f>
              <c:numCache>
                <c:formatCode>General</c:formatCode>
                <c:ptCount val="1"/>
                <c:pt idx="0">
                  <c:v>10.000024</c:v>
                </c:pt>
              </c:numCache>
            </c:numRef>
          </c:xVal>
          <c:yVal>
            <c:numRef>
              <c:f>'Résultats d''étalonnage'!$C$20</c:f>
              <c:numCache>
                <c:formatCode>General</c:formatCode>
                <c:ptCount val="1"/>
                <c:pt idx="0">
                  <c:v>4.5999999999324359E-2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BD-4796-BFA5-C7937BE85B6B}"/>
            </c:ext>
          </c:extLst>
        </c:ser>
        <c:ser>
          <c:idx val="4"/>
          <c:order val="3"/>
          <c:tx>
            <c:strRef>
              <c:f>'Résultats d''étalonnage'!$D$16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d''étalonnage'!$D$48</c:f>
                <c:numCache>
                  <c:formatCode>General</c:formatCode>
                  <c:ptCount val="1"/>
                  <c:pt idx="0">
                    <c:v>7.0000000000000007E-2</c:v>
                  </c:pt>
                </c:numCache>
              </c:numRef>
            </c:plus>
            <c:minus>
              <c:numRef>
                <c:f>'Résultats d''étalonnage'!$D$48</c:f>
                <c:numCache>
                  <c:formatCode>General</c:formatCode>
                  <c:ptCount val="1"/>
                  <c:pt idx="0">
                    <c:v>7.0000000000000007E-2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'Résultats d''étalonnage'!$D$18</c:f>
              <c:numCache>
                <c:formatCode>General</c:formatCode>
                <c:ptCount val="1"/>
                <c:pt idx="0">
                  <c:v>29.999987999999998</c:v>
                </c:pt>
              </c:numCache>
            </c:numRef>
          </c:xVal>
          <c:yVal>
            <c:numRef>
              <c:f>'Résultats d''étalonnage'!$D$20</c:f>
              <c:numCache>
                <c:formatCode>General</c:formatCode>
                <c:ptCount val="1"/>
                <c:pt idx="0">
                  <c:v>5.2000000000163027E-2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BD-4796-BFA5-C7937BE85B6B}"/>
            </c:ext>
          </c:extLst>
        </c:ser>
        <c:ser>
          <c:idx val="5"/>
          <c:order val="4"/>
          <c:tx>
            <c:strRef>
              <c:f>'Résultats d''étalonnage'!$E$16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d''étalonnage'!$E$48</c:f>
                <c:numCache>
                  <c:formatCode>General</c:formatCode>
                  <c:ptCount val="1"/>
                  <c:pt idx="0">
                    <c:v>0.08</c:v>
                  </c:pt>
                </c:numCache>
              </c:numRef>
            </c:plus>
            <c:minus>
              <c:numRef>
                <c:f>'Résultats d''étalonnage'!$E$48</c:f>
                <c:numCache>
                  <c:formatCode>General</c:formatCode>
                  <c:ptCount val="1"/>
                  <c:pt idx="0">
                    <c:v>0.08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'Résultats d''étalonnage'!$E$18</c:f>
              <c:numCache>
                <c:formatCode>General</c:formatCode>
                <c:ptCount val="1"/>
                <c:pt idx="0">
                  <c:v>39.999976000000004</c:v>
                </c:pt>
              </c:numCache>
            </c:numRef>
          </c:xVal>
          <c:yVal>
            <c:numRef>
              <c:f>'Résultats d''étalonnage'!$E$20</c:f>
              <c:numCache>
                <c:formatCode>General</c:formatCode>
                <c:ptCount val="1"/>
                <c:pt idx="0">
                  <c:v>8.3999999993977781E-2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BD-4796-BFA5-C7937BE85B6B}"/>
            </c:ext>
          </c:extLst>
        </c:ser>
        <c:ser>
          <c:idx val="6"/>
          <c:order val="5"/>
          <c:tx>
            <c:strRef>
              <c:f>'Résultats d''étalonnage'!$F$16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'Résultats d''étalonnage'!$F$48</c:f>
                <c:numCache>
                  <c:formatCode>General</c:formatCode>
                  <c:ptCount val="1"/>
                  <c:pt idx="0">
                    <c:v>7.0000000000000007E-2</c:v>
                  </c:pt>
                </c:numCache>
              </c:numRef>
            </c:plus>
            <c:minus>
              <c:numRef>
                <c:f>'Résultats d''étalonnage'!$F$48</c:f>
                <c:numCache>
                  <c:formatCode>General</c:formatCode>
                  <c:ptCount val="1"/>
                  <c:pt idx="0">
                    <c:v>7.0000000000000007E-2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'Résultats d''étalonnage'!$F$18</c:f>
              <c:numCache>
                <c:formatCode>General</c:formatCode>
                <c:ptCount val="1"/>
                <c:pt idx="0">
                  <c:v>55.000014999999998</c:v>
                </c:pt>
              </c:numCache>
            </c:numRef>
          </c:xVal>
          <c:yVal>
            <c:numRef>
              <c:f>'Résultats d''étalonnage'!$F$20</c:f>
              <c:numCache>
                <c:formatCode>General</c:formatCode>
                <c:ptCount val="1"/>
                <c:pt idx="0">
                  <c:v>6.4999999999315605E-2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ABD-4796-BFA5-C7937BE8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scatterChart>
        <c:scatterStyle val="lineMarker"/>
        <c:varyColors val="0"/>
        <c:ser>
          <c:idx val="7"/>
          <c:order val="0"/>
          <c:tx>
            <c:v>Erreur de Justesse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DA-4481-A10D-D36FD7F44FF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DA-4481-A10D-D36FD7F44FF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DA-4481-A10D-D36FD7F44FF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DA-4481-A10D-D36FD7F44FF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DA-4481-A10D-D36FD7F44FF4}"/>
              </c:ext>
            </c:extLst>
          </c:dPt>
          <c:xVal>
            <c:numRef>
              <c:f>'Résultats d''étalonnage'!$B$46:$F$46</c:f>
              <c:numCache>
                <c:formatCode>0.00</c:formatCode>
                <c:ptCount val="5"/>
                <c:pt idx="0">
                  <c:v>0.2</c:v>
                </c:pt>
                <c:pt idx="1">
                  <c:v>10</c:v>
                </c:pt>
                <c:pt idx="2">
                  <c:v>30</c:v>
                </c:pt>
                <c:pt idx="3">
                  <c:v>40</c:v>
                </c:pt>
                <c:pt idx="4">
                  <c:v>55</c:v>
                </c:pt>
              </c:numCache>
            </c:numRef>
          </c:xVal>
          <c:yVal>
            <c:numRef>
              <c:f>'Résultats d''étalonnage'!$B$20:$F$20</c:f>
              <c:numCache>
                <c:formatCode>General</c:formatCode>
                <c:ptCount val="5"/>
                <c:pt idx="0">
                  <c:v>-7.9999999999524896E-4</c:v>
                </c:pt>
                <c:pt idx="1">
                  <c:v>4.5999999999324359E-2</c:v>
                </c:pt>
                <c:pt idx="2">
                  <c:v>5.2000000000163027E-2</c:v>
                </c:pt>
                <c:pt idx="3">
                  <c:v>8.3999999993977781E-2</c:v>
                </c:pt>
                <c:pt idx="4">
                  <c:v>6.4999999999315605E-2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BD-4796-BFA5-C7937BE8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valAx>
        <c:axId val="424799128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119496"/>
        <c:crosses val="autoZero"/>
        <c:crossBetween val="midCat"/>
      </c:valAx>
      <c:valAx>
        <c:axId val="552119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Erreur de justesse (mg)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99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9388692882232453"/>
          <c:y val="0.91709180737434559"/>
          <c:w val="0.48850674081170115"/>
          <c:h val="8.1753764519272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31546659077271E-2"/>
          <c:y val="2.3029432641674508E-2"/>
          <c:w val="0.87978395133842691"/>
          <c:h val="0.95118671663368282"/>
        </c:manualLayout>
      </c:layout>
      <c:scatterChart>
        <c:scatterStyle val="smoothMarker"/>
        <c:varyColors val="0"/>
        <c:ser>
          <c:idx val="2"/>
          <c:order val="1"/>
          <c:tx>
            <c:strRef>
              <c:f>'Résultats d''étalonnage'!$B$16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'Résultats d''étalonnage'!$H$67</c:f>
              <c:numCache>
                <c:formatCode>General</c:formatCode>
                <c:ptCount val="1"/>
                <c:pt idx="0">
                  <c:v>0.2</c:v>
                </c:pt>
              </c:numCache>
            </c:numRef>
          </c:xVal>
          <c:yVal>
            <c:numRef>
              <c:f>'Résultats d''étalonnage'!$H$77</c:f>
              <c:numCache>
                <c:formatCode>0.00</c:formatCode>
                <c:ptCount val="1"/>
                <c:pt idx="0">
                  <c:v>6.0000000000000005E-2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96-4408-B2B0-F01357264438}"/>
            </c:ext>
          </c:extLst>
        </c:ser>
        <c:ser>
          <c:idx val="3"/>
          <c:order val="2"/>
          <c:tx>
            <c:strRef>
              <c:f>'Résultats d''étalonnage'!$C$16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'Résultats d''étalonnage'!$C$70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'Résultats d''étalonnage'!$I$77</c:f>
              <c:numCache>
                <c:formatCode>0.00</c:formatCode>
                <c:ptCount val="1"/>
                <c:pt idx="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96-4408-B2B0-F01357264438}"/>
            </c:ext>
          </c:extLst>
        </c:ser>
        <c:ser>
          <c:idx val="4"/>
          <c:order val="3"/>
          <c:tx>
            <c:strRef>
              <c:f>'Résultats d''étalonnage'!$D$16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'Résultats d''étalonnage'!$D$70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'Résultats d''étalonnage'!$J$77</c:f>
              <c:numCache>
                <c:formatCode>0.00</c:formatCode>
                <c:ptCount val="1"/>
                <c:pt idx="0">
                  <c:v>0.29000000000000004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96-4408-B2B0-F01357264438}"/>
            </c:ext>
          </c:extLst>
        </c:ser>
        <c:ser>
          <c:idx val="5"/>
          <c:order val="4"/>
          <c:tx>
            <c:strRef>
              <c:f>'Résultats d''étalonnage'!$E$16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'Résultats d''étalonnage'!$E$70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'Résultats d''étalonnage'!$K$77</c:f>
              <c:numCache>
                <c:formatCode>0.00</c:formatCode>
                <c:ptCount val="1"/>
                <c:pt idx="0">
                  <c:v>0.38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96-4408-B2B0-F01357264438}"/>
            </c:ext>
          </c:extLst>
        </c:ser>
        <c:ser>
          <c:idx val="6"/>
          <c:order val="5"/>
          <c:tx>
            <c:strRef>
              <c:f>'Résultats d''étalonnage'!$F$16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'Résultats d''étalonnage'!$F$70</c:f>
              <c:numCache>
                <c:formatCode>General</c:formatCode>
                <c:ptCount val="1"/>
                <c:pt idx="0">
                  <c:v>55</c:v>
                </c:pt>
              </c:numCache>
            </c:numRef>
          </c:xVal>
          <c:yVal>
            <c:numRef>
              <c:f>'Résultats d''étalonnage'!$L$77</c:f>
              <c:numCache>
                <c:formatCode>0.00</c:formatCode>
                <c:ptCount val="1"/>
                <c:pt idx="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96-4408-B2B0-F01357264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scatterChart>
        <c:scatterStyle val="lineMarker"/>
        <c:varyColors val="0"/>
        <c:ser>
          <c:idx val="7"/>
          <c:order val="0"/>
          <c:tx>
            <c:v>Erreur de Justesse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96-4408-B2B0-F01357264438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496-4408-B2B0-F01357264438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496-4408-B2B0-F01357264438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F496-4408-B2B0-F01357264438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F496-4408-B2B0-F01357264438}"/>
              </c:ext>
            </c:extLst>
          </c:dPt>
          <c:xVal>
            <c:numRef>
              <c:f>'Résultats d''étalonnage'!$B$70:$F$70</c:f>
              <c:numCache>
                <c:formatCode>General</c:formatCode>
                <c:ptCount val="5"/>
                <c:pt idx="0">
                  <c:v>0.2</c:v>
                </c:pt>
                <c:pt idx="1">
                  <c:v>10</c:v>
                </c:pt>
                <c:pt idx="2">
                  <c:v>30</c:v>
                </c:pt>
                <c:pt idx="3">
                  <c:v>40</c:v>
                </c:pt>
                <c:pt idx="4">
                  <c:v>55</c:v>
                </c:pt>
              </c:numCache>
            </c:numRef>
          </c:xVal>
          <c:yVal>
            <c:numRef>
              <c:f>'Résultats d''étalonnage'!$B$71:$F$71</c:f>
              <c:numCache>
                <c:formatCode>0.00</c:formatCode>
                <c:ptCount val="5"/>
                <c:pt idx="0">
                  <c:v>5.0453130966793186E-2</c:v>
                </c:pt>
                <c:pt idx="1">
                  <c:v>0.13061554961528152</c:v>
                </c:pt>
                <c:pt idx="2">
                  <c:v>0.29421232236729855</c:v>
                </c:pt>
                <c:pt idx="3">
                  <c:v>0.376010708743307</c:v>
                </c:pt>
                <c:pt idx="4">
                  <c:v>0.49870828830731984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496-4408-B2B0-F01357264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99128"/>
        <c:axId val="552119496"/>
      </c:scatterChart>
      <c:valAx>
        <c:axId val="424799128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119496"/>
        <c:crosses val="autoZero"/>
        <c:crossBetween val="midCat"/>
      </c:valAx>
      <c:valAx>
        <c:axId val="552119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U(IP)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99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30</xdr:row>
      <xdr:rowOff>19050</xdr:rowOff>
    </xdr:from>
    <xdr:to>
      <xdr:col>5</xdr:col>
      <xdr:colOff>16875</xdr:colOff>
      <xdr:row>41</xdr:row>
      <xdr:rowOff>83550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67075" y="7924800"/>
          <a:ext cx="2160000" cy="21600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38100</xdr:colOff>
      <xdr:row>105</xdr:row>
      <xdr:rowOff>76200</xdr:rowOff>
    </xdr:from>
    <xdr:to>
      <xdr:col>5</xdr:col>
      <xdr:colOff>914400</xdr:colOff>
      <xdr:row>125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48</xdr:row>
      <xdr:rowOff>76200</xdr:rowOff>
    </xdr:from>
    <xdr:to>
      <xdr:col>5</xdr:col>
      <xdr:colOff>1028700</xdr:colOff>
      <xdr:row>63</xdr:row>
      <xdr:rowOff>133350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9525</xdr:rowOff>
    </xdr:from>
    <xdr:to>
      <xdr:col>5</xdr:col>
      <xdr:colOff>914400</xdr:colOff>
      <xdr:row>86</xdr:row>
      <xdr:rowOff>161925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41"/>
  <sheetViews>
    <sheetView showGridLines="0" tabSelected="1" zoomScaleNormal="100" workbookViewId="0">
      <selection activeCell="B19" sqref="B19"/>
    </sheetView>
  </sheetViews>
  <sheetFormatPr baseColWidth="10" defaultRowHeight="15" x14ac:dyDescent="0.25"/>
  <cols>
    <col min="1" max="1" width="17.7109375" style="24" customWidth="1"/>
    <col min="2" max="6" width="15.85546875" style="24" customWidth="1"/>
    <col min="7" max="7" width="27" style="113" customWidth="1"/>
    <col min="8" max="11" width="12.5703125" style="113" customWidth="1"/>
    <col min="12" max="13" width="11.5703125" style="113" bestFit="1" customWidth="1"/>
    <col min="14" max="14" width="12" style="113" bestFit="1" customWidth="1"/>
    <col min="15" max="16384" width="11.42578125" style="24"/>
  </cols>
  <sheetData>
    <row r="1" spans="1:14" ht="33" customHeight="1" x14ac:dyDescent="0.5">
      <c r="A1" s="184">
        <f ca="1">TODAY()</f>
        <v>43206</v>
      </c>
      <c r="B1" s="184"/>
      <c r="C1" s="184"/>
      <c r="D1" s="184"/>
      <c r="E1" s="184"/>
      <c r="F1" s="184"/>
      <c r="G1" s="137"/>
      <c r="H1" s="137"/>
      <c r="I1" s="137"/>
      <c r="J1" s="137"/>
      <c r="K1" s="137"/>
    </row>
    <row r="2" spans="1:14" s="108" customFormat="1" ht="33" customHeight="1" x14ac:dyDescent="0.5">
      <c r="A2" s="179" t="s">
        <v>120</v>
      </c>
      <c r="B2" s="179"/>
      <c r="C2" s="179"/>
      <c r="D2" s="179"/>
      <c r="E2" s="179"/>
      <c r="F2" s="179"/>
      <c r="G2" s="137"/>
      <c r="H2" s="137"/>
      <c r="I2" s="137"/>
      <c r="J2" s="137"/>
      <c r="K2" s="137"/>
      <c r="L2" s="113"/>
      <c r="M2" s="113"/>
      <c r="N2" s="113"/>
    </row>
    <row r="3" spans="1:14" s="27" customFormat="1" x14ac:dyDescent="0.25">
      <c r="A3" s="26"/>
      <c r="B3" s="26"/>
      <c r="C3" s="26"/>
      <c r="D3" s="26"/>
      <c r="E3" s="26"/>
      <c r="F3" s="26"/>
      <c r="G3" s="148"/>
      <c r="H3" s="148"/>
      <c r="I3" s="148"/>
      <c r="J3" s="148"/>
      <c r="K3" s="148"/>
      <c r="L3" s="114"/>
      <c r="M3" s="114"/>
      <c r="N3" s="114"/>
    </row>
    <row r="4" spans="1:14" s="109" customFormat="1" ht="21.75" customHeight="1" x14ac:dyDescent="0.35">
      <c r="A4" s="158" t="s">
        <v>90</v>
      </c>
      <c r="B4" s="158"/>
      <c r="C4" s="158"/>
      <c r="D4" s="158"/>
      <c r="E4" s="158"/>
      <c r="F4" s="158"/>
      <c r="G4" s="148"/>
      <c r="H4" s="148"/>
      <c r="I4" s="148"/>
      <c r="J4" s="148"/>
      <c r="K4" s="148"/>
      <c r="L4" s="114"/>
      <c r="M4" s="114"/>
      <c r="N4" s="114"/>
    </row>
    <row r="5" spans="1:14" s="111" customFormat="1" ht="20.25" customHeight="1" x14ac:dyDescent="0.25">
      <c r="A5" s="161" t="s">
        <v>114</v>
      </c>
      <c r="B5" s="161"/>
      <c r="C5" s="161"/>
      <c r="D5" s="161" t="s">
        <v>115</v>
      </c>
      <c r="E5" s="161"/>
      <c r="F5" s="161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25"/>
      <c r="B6" s="25"/>
      <c r="C6" s="74"/>
      <c r="D6" s="185" t="s">
        <v>13</v>
      </c>
      <c r="E6" s="186"/>
      <c r="F6" s="101" t="str">
        <f>IF($A$2="","",VLOOKUP($A$2,Liste!$A$5:$R$14,2,FALSE))</f>
        <v>SARTORIUS</v>
      </c>
    </row>
    <row r="7" spans="1:14" x14ac:dyDescent="0.25">
      <c r="A7" s="25"/>
      <c r="B7" s="25"/>
      <c r="C7" s="74"/>
      <c r="D7" s="180" t="s">
        <v>20</v>
      </c>
      <c r="E7" s="181"/>
      <c r="F7" s="102">
        <f>IF($A$2="","",VLOOKUP($A$2,Liste!$A$5:$R$14,3,FALSE))</f>
        <v>220</v>
      </c>
    </row>
    <row r="8" spans="1:14" x14ac:dyDescent="0.25">
      <c r="A8" s="185" t="s">
        <v>32</v>
      </c>
      <c r="B8" s="186"/>
      <c r="C8" s="8">
        <v>20.8</v>
      </c>
      <c r="D8" s="180" t="s">
        <v>28</v>
      </c>
      <c r="E8" s="181"/>
      <c r="F8" s="103">
        <f>IF($A$2="","",VLOOKUP($A$2,Liste!$A$5:$R$14,4,FALSE))</f>
        <v>0.01</v>
      </c>
    </row>
    <row r="9" spans="1:14" x14ac:dyDescent="0.25">
      <c r="A9" s="180" t="s">
        <v>33</v>
      </c>
      <c r="B9" s="181"/>
      <c r="C9" s="9">
        <v>20.6</v>
      </c>
      <c r="D9" s="180" t="s">
        <v>36</v>
      </c>
      <c r="E9" s="181"/>
      <c r="F9" s="104">
        <f>IF($A$2="","",VLOOKUP($A$2,Liste!$A$5:$R$14,5,FALSE))</f>
        <v>1.5E-6</v>
      </c>
    </row>
    <row r="10" spans="1:14" x14ac:dyDescent="0.25">
      <c r="A10" s="180" t="s">
        <v>116</v>
      </c>
      <c r="B10" s="181"/>
      <c r="C10" s="28">
        <f>IF(C9="","",ABS(C8-C9))</f>
        <v>0.19999999999999929</v>
      </c>
      <c r="D10" s="180" t="s">
        <v>29</v>
      </c>
      <c r="E10" s="181"/>
      <c r="F10" s="105" t="str">
        <f>IF($A$2="","",VLOOKUP($A$2,Liste!$A$5:$R$14,6,FALSE))</f>
        <v>0 g - 220 g</v>
      </c>
    </row>
    <row r="11" spans="1:14" x14ac:dyDescent="0.25">
      <c r="A11" s="182" t="s">
        <v>117</v>
      </c>
      <c r="B11" s="183"/>
      <c r="C11" s="23">
        <v>5</v>
      </c>
      <c r="D11" s="180" t="s">
        <v>21</v>
      </c>
      <c r="E11" s="181"/>
      <c r="F11" s="106" t="str">
        <f>IF($A$2="","",VLOOKUP($A$2,Liste!$A$5:$R$14,7,FALSE))</f>
        <v>OUI</v>
      </c>
    </row>
    <row r="12" spans="1:14" x14ac:dyDescent="0.25">
      <c r="A12" s="25"/>
      <c r="B12" s="25"/>
      <c r="C12" s="74"/>
      <c r="D12" s="182" t="s">
        <v>19</v>
      </c>
      <c r="E12" s="183"/>
      <c r="F12" s="107" t="str">
        <f>IF($A$2="","",VLOOKUP($A$2,Liste!$A$5:$R$14,8,FALSE))</f>
        <v>Carré</v>
      </c>
    </row>
    <row r="13" spans="1:14" s="27" customFormat="1" x14ac:dyDescent="0.25">
      <c r="A13" s="26"/>
      <c r="B13" s="26"/>
      <c r="C13" s="26"/>
      <c r="D13" s="26"/>
      <c r="E13" s="26"/>
      <c r="F13" s="26"/>
      <c r="G13" s="148"/>
      <c r="H13" s="148"/>
      <c r="I13" s="148"/>
      <c r="J13" s="148"/>
      <c r="K13" s="148"/>
      <c r="L13" s="114"/>
      <c r="M13" s="114"/>
      <c r="N13" s="114"/>
    </row>
    <row r="14" spans="1:14" s="109" customFormat="1" ht="21.75" customHeight="1" x14ac:dyDescent="0.35">
      <c r="A14" s="158" t="s">
        <v>89</v>
      </c>
      <c r="B14" s="158"/>
      <c r="C14" s="158"/>
      <c r="D14" s="158"/>
      <c r="E14" s="158"/>
      <c r="F14" s="158"/>
      <c r="G14" s="148"/>
      <c r="H14" s="148"/>
      <c r="I14" s="148"/>
      <c r="J14" s="148"/>
      <c r="K14" s="148"/>
      <c r="L14" s="114"/>
      <c r="M14" s="114"/>
      <c r="N14" s="114"/>
    </row>
    <row r="15" spans="1:14" s="111" customFormat="1" ht="20.25" customHeight="1" x14ac:dyDescent="0.25">
      <c r="A15" s="161" t="s">
        <v>15</v>
      </c>
      <c r="B15" s="161"/>
      <c r="C15" s="161"/>
      <c r="D15" s="161"/>
      <c r="E15" s="161"/>
      <c r="F15" s="161"/>
      <c r="G15" s="149"/>
      <c r="H15" s="149"/>
      <c r="I15" s="149"/>
      <c r="J15" s="138"/>
      <c r="K15" s="138"/>
      <c r="L15" s="138"/>
      <c r="M15" s="138"/>
      <c r="N15" s="138"/>
    </row>
    <row r="16" spans="1:14" x14ac:dyDescent="0.25">
      <c r="B16" s="55">
        <v>1</v>
      </c>
      <c r="C16" s="56">
        <v>2</v>
      </c>
      <c r="D16" s="56">
        <v>3</v>
      </c>
      <c r="E16" s="56">
        <v>4</v>
      </c>
      <c r="F16" s="61">
        <v>5</v>
      </c>
    </row>
    <row r="17" spans="1:15" x14ac:dyDescent="0.25">
      <c r="A17" s="30" t="s">
        <v>99</v>
      </c>
      <c r="B17" s="69" t="str">
        <f>IF($A$2="","",VLOOKUP($A$2,Liste!$A$5:$R$14,9,FALSE))</f>
        <v>PB200</v>
      </c>
      <c r="C17" s="69" t="str">
        <f>IF($A$2="","",VLOOKUP($A$2,Liste!$A$5:$R$14,10,FALSE))</f>
        <v>ZB56G</v>
      </c>
      <c r="D17" s="69" t="str">
        <f>IF($A$2="","",VLOOKUP($A$2,Liste!$A$5:$R$14,11,FALSE))</f>
        <v>ZB43N/ZB56G</v>
      </c>
      <c r="E17" s="69" t="str">
        <f>IF($A$2="","",VLOOKUP($A$2,Liste!$A$5:$R$14,12,FALSE))</f>
        <v>ZB43N/ZB44N</v>
      </c>
      <c r="F17" s="70" t="str">
        <f>IF($A$2="","",VLOOKUP($A$2,Liste!$A$5:$R$14,13,FALSE))</f>
        <v>ZB39H/ZB92D</v>
      </c>
    </row>
    <row r="18" spans="1:15" x14ac:dyDescent="0.25">
      <c r="A18" s="31" t="s">
        <v>97</v>
      </c>
      <c r="B18" s="59">
        <f>IF(B17="","",VLOOKUP(B17,Liste!$T$4:$V$37,2,FALSE))</f>
        <v>0.20000080000000001</v>
      </c>
      <c r="C18" s="59">
        <f>IF(C17="","",VLOOKUP(C17,Liste!$T$4:$V$37,2,FALSE))</f>
        <v>10.000024</v>
      </c>
      <c r="D18" s="59">
        <f>IF(D17="","",VLOOKUP(D17,Liste!$T$4:$V$37,2,FALSE))</f>
        <v>29.999987999999998</v>
      </c>
      <c r="E18" s="59">
        <f>IF(E17="","",VLOOKUP(E17,Liste!$T$4:$V$37,2,FALSE))</f>
        <v>39.999976000000004</v>
      </c>
      <c r="F18" s="60">
        <f>IF(F17="","",VLOOKUP(F17,Liste!$T$4:$V$37,2,FALSE))</f>
        <v>55.000014999999998</v>
      </c>
    </row>
    <row r="19" spans="1:15" x14ac:dyDescent="0.25">
      <c r="A19" s="31" t="s">
        <v>96</v>
      </c>
      <c r="B19" s="77">
        <v>0.2</v>
      </c>
      <c r="C19" s="77">
        <v>10.000069999999999</v>
      </c>
      <c r="D19" s="77">
        <v>30.000039999999998</v>
      </c>
      <c r="E19" s="77">
        <v>40.000059999999998</v>
      </c>
      <c r="F19" s="78">
        <v>55.000079999999997</v>
      </c>
    </row>
    <row r="20" spans="1:15" x14ac:dyDescent="0.25">
      <c r="A20" s="32" t="s">
        <v>95</v>
      </c>
      <c r="B20" s="58">
        <f t="shared" ref="B20:F20" si="0">IF(B17="","",(B19-B18)*1000)</f>
        <v>-7.9999999999524896E-4</v>
      </c>
      <c r="C20" s="58">
        <f t="shared" si="0"/>
        <v>4.5999999999324359E-2</v>
      </c>
      <c r="D20" s="58">
        <f t="shared" si="0"/>
        <v>5.2000000000163027E-2</v>
      </c>
      <c r="E20" s="58">
        <f t="shared" si="0"/>
        <v>8.3999999993977781E-2</v>
      </c>
      <c r="F20" s="29">
        <f t="shared" si="0"/>
        <v>6.4999999999315605E-2</v>
      </c>
    </row>
    <row r="21" spans="1:15" s="27" customFormat="1" ht="15" customHeight="1" x14ac:dyDescent="0.25">
      <c r="A21" s="26"/>
      <c r="B21" s="26"/>
      <c r="C21" s="26"/>
      <c r="D21" s="26"/>
      <c r="E21" s="26"/>
      <c r="F21" s="26"/>
      <c r="G21" s="148"/>
      <c r="H21" s="114"/>
      <c r="I21" s="114"/>
      <c r="J21" s="114"/>
      <c r="K21" s="114"/>
      <c r="L21" s="114"/>
      <c r="M21" s="114"/>
      <c r="N21" s="114"/>
    </row>
    <row r="22" spans="1:15" s="111" customFormat="1" ht="20.25" customHeight="1" x14ac:dyDescent="0.25">
      <c r="A22" s="161" t="s">
        <v>14</v>
      </c>
      <c r="B22" s="161"/>
      <c r="C22" s="161"/>
      <c r="D22" s="161"/>
      <c r="E22" s="161"/>
      <c r="F22" s="161"/>
      <c r="G22" s="149"/>
      <c r="H22" s="149"/>
      <c r="I22" s="149"/>
      <c r="J22" s="149"/>
      <c r="K22" s="149"/>
      <c r="L22" s="138"/>
      <c r="M22" s="138"/>
      <c r="N22" s="138"/>
    </row>
    <row r="23" spans="1:15" x14ac:dyDescent="0.25">
      <c r="A23" s="55" t="s">
        <v>17</v>
      </c>
      <c r="B23" s="56">
        <v>1</v>
      </c>
      <c r="C23" s="56">
        <v>2</v>
      </c>
      <c r="D23" s="56">
        <v>3</v>
      </c>
      <c r="E23" s="56">
        <v>4</v>
      </c>
      <c r="F23" s="61">
        <v>5</v>
      </c>
      <c r="G23" s="115"/>
      <c r="H23" s="115"/>
      <c r="I23" s="115"/>
      <c r="J23" s="115"/>
      <c r="K23" s="115"/>
    </row>
    <row r="24" spans="1:15" x14ac:dyDescent="0.25">
      <c r="A24" s="57" t="s">
        <v>52</v>
      </c>
      <c r="B24" s="75">
        <v>30.000039999999998</v>
      </c>
      <c r="C24" s="75">
        <v>30.000029999999999</v>
      </c>
      <c r="D24" s="75">
        <v>30.00001</v>
      </c>
      <c r="E24" s="75">
        <v>30.000019999999999</v>
      </c>
      <c r="F24" s="76">
        <v>30.00001</v>
      </c>
      <c r="G24" s="115"/>
      <c r="H24" s="115"/>
      <c r="I24" s="115"/>
      <c r="J24" s="115"/>
      <c r="K24" s="115"/>
    </row>
    <row r="25" spans="1:15" s="27" customFormat="1" x14ac:dyDescent="0.25">
      <c r="A25" s="26"/>
      <c r="B25" s="26"/>
      <c r="C25" s="26"/>
      <c r="D25" s="26"/>
      <c r="E25" s="26"/>
      <c r="F25" s="26"/>
      <c r="G25" s="148"/>
      <c r="H25" s="148"/>
      <c r="I25" s="148"/>
      <c r="J25" s="148"/>
      <c r="K25" s="148"/>
      <c r="L25" s="114"/>
      <c r="M25" s="114"/>
      <c r="N25" s="114"/>
    </row>
    <row r="26" spans="1:15" s="111" customFormat="1" ht="20.25" customHeight="1" x14ac:dyDescent="0.25">
      <c r="A26" s="161" t="s">
        <v>16</v>
      </c>
      <c r="B26" s="161"/>
      <c r="C26" s="161"/>
      <c r="D26" s="161"/>
      <c r="E26" s="161"/>
      <c r="F26" s="161"/>
      <c r="G26" s="138"/>
      <c r="H26" s="138"/>
      <c r="I26" s="138"/>
      <c r="J26" s="138"/>
      <c r="K26" s="138"/>
      <c r="L26" s="138"/>
      <c r="M26" s="138"/>
      <c r="N26" s="138"/>
    </row>
    <row r="27" spans="1:15" x14ac:dyDescent="0.25">
      <c r="A27" s="55" t="s">
        <v>53</v>
      </c>
      <c r="B27" s="56" t="s">
        <v>18</v>
      </c>
      <c r="C27" s="56">
        <v>1</v>
      </c>
      <c r="D27" s="56">
        <v>2</v>
      </c>
      <c r="E27" s="56">
        <v>3</v>
      </c>
      <c r="F27" s="61">
        <v>4</v>
      </c>
      <c r="G27" s="115"/>
      <c r="O27" s="48"/>
    </row>
    <row r="28" spans="1:15" x14ac:dyDescent="0.25">
      <c r="A28" s="62" t="s">
        <v>96</v>
      </c>
      <c r="B28" s="77">
        <v>19.999919999999999</v>
      </c>
      <c r="C28" s="77">
        <v>19.999949999999998</v>
      </c>
      <c r="D28" s="77">
        <v>19.999890000000001</v>
      </c>
      <c r="E28" s="77">
        <v>19.9999</v>
      </c>
      <c r="F28" s="78">
        <v>19.999919999999999</v>
      </c>
      <c r="G28" s="115"/>
    </row>
    <row r="29" spans="1:15" x14ac:dyDescent="0.25">
      <c r="A29" s="177" t="s">
        <v>98</v>
      </c>
      <c r="B29" s="178"/>
      <c r="C29" s="82">
        <f>IF($B$28="","",ABS(C28-$B$28))</f>
        <v>2.9999999998864268E-5</v>
      </c>
      <c r="D29" s="82">
        <f>IF($B$28="","",ABS(D28-$B$28))</f>
        <v>2.9999999998864268E-5</v>
      </c>
      <c r="E29" s="82">
        <f>IF($B$28="","",ABS(E28-$B$28))</f>
        <v>1.9999999999242846E-5</v>
      </c>
      <c r="F29" s="83">
        <f>IF($B$28="","",ABS(F28-$B$28))</f>
        <v>0</v>
      </c>
      <c r="G29" s="115"/>
    </row>
    <row r="30" spans="1:15" x14ac:dyDescent="0.25">
      <c r="A30" s="25"/>
    </row>
    <row r="31" spans="1:15" x14ac:dyDescent="0.25">
      <c r="E31" s="33"/>
    </row>
    <row r="32" spans="1:15" x14ac:dyDescent="0.25">
      <c r="E32" s="33"/>
    </row>
    <row r="33" spans="1:14" x14ac:dyDescent="0.25">
      <c r="B33" s="33"/>
      <c r="D33" s="36">
        <v>1</v>
      </c>
      <c r="E33" s="37">
        <v>2</v>
      </c>
    </row>
    <row r="34" spans="1:14" x14ac:dyDescent="0.25">
      <c r="A34" s="34">
        <v>1</v>
      </c>
      <c r="B34" s="35">
        <v>2</v>
      </c>
      <c r="D34" s="36" t="str">
        <f>IF($F$12="","",IF($F$12="Rond",C28,""))</f>
        <v/>
      </c>
      <c r="E34" s="37" t="str">
        <f>IF($F$12="","",IF($F$12="Rond",D28,""))</f>
        <v/>
      </c>
    </row>
    <row r="35" spans="1:14" x14ac:dyDescent="0.25">
      <c r="A35" s="38">
        <f>IF($F$12="","",IF($F$12="Rond","",$C$28))</f>
        <v>19.999949999999998</v>
      </c>
      <c r="B35" s="39">
        <f>IF($F$12="","",IF($F$12="Rond","",D28))</f>
        <v>19.999890000000001</v>
      </c>
      <c r="E35" s="33"/>
    </row>
    <row r="36" spans="1:14" x14ac:dyDescent="0.25">
      <c r="A36" s="40"/>
      <c r="B36" s="41"/>
      <c r="C36" s="42"/>
      <c r="D36" s="43"/>
      <c r="E36" s="44"/>
      <c r="F36" s="45"/>
    </row>
    <row r="37" spans="1:14" x14ac:dyDescent="0.25">
      <c r="A37" s="46"/>
      <c r="B37" s="39"/>
      <c r="E37" s="47"/>
    </row>
    <row r="38" spans="1:14" x14ac:dyDescent="0.25">
      <c r="A38" s="38">
        <f>IF($F$12="","",IF($F$12="Rond","",F28))</f>
        <v>19.999919999999999</v>
      </c>
      <c r="B38" s="39">
        <f>IF($F$12="","",IF($F$12="Rond","",E28))</f>
        <v>19.9999</v>
      </c>
      <c r="E38" s="33"/>
    </row>
    <row r="39" spans="1:14" x14ac:dyDescent="0.25">
      <c r="A39" s="49">
        <v>4</v>
      </c>
      <c r="B39" s="50">
        <v>3</v>
      </c>
      <c r="D39" s="36" t="str">
        <f>IF($F$12="","",IF($F$12="Rond",F28,""))</f>
        <v/>
      </c>
      <c r="E39" s="37" t="str">
        <f>IF($F$12="","",IF($F$12="Rond",E28,""))</f>
        <v/>
      </c>
      <c r="F39" s="51"/>
    </row>
    <row r="40" spans="1:14" x14ac:dyDescent="0.25">
      <c r="B40" s="33"/>
      <c r="D40" s="36">
        <v>4</v>
      </c>
      <c r="E40" s="37">
        <v>3</v>
      </c>
      <c r="F40" s="51"/>
    </row>
    <row r="41" spans="1:14" x14ac:dyDescent="0.25">
      <c r="E41" s="33"/>
    </row>
    <row r="42" spans="1:14" x14ac:dyDescent="0.25">
      <c r="E42" s="33"/>
    </row>
    <row r="43" spans="1:14" ht="15" customHeight="1" x14ac:dyDescent="0.25">
      <c r="A43" s="10"/>
      <c r="B43" s="10"/>
      <c r="C43" s="10"/>
      <c r="D43" s="112"/>
      <c r="E43" s="112"/>
      <c r="F43" s="112"/>
    </row>
    <row r="44" spans="1:14" s="109" customFormat="1" ht="21.75" customHeight="1" x14ac:dyDescent="0.35">
      <c r="A44" s="158" t="s">
        <v>93</v>
      </c>
      <c r="B44" s="158"/>
      <c r="C44" s="158"/>
      <c r="D44" s="158"/>
      <c r="E44" s="158"/>
      <c r="F44" s="158"/>
      <c r="G44" s="148"/>
      <c r="H44" s="148"/>
      <c r="I44" s="148"/>
      <c r="J44" s="148"/>
      <c r="K44" s="148"/>
      <c r="L44" s="114"/>
      <c r="M44" s="114"/>
      <c r="N44" s="114"/>
    </row>
    <row r="45" spans="1:14" s="111" customFormat="1" ht="20.25" customHeight="1" x14ac:dyDescent="0.25">
      <c r="A45" s="161" t="s">
        <v>91</v>
      </c>
      <c r="B45" s="161"/>
      <c r="C45" s="161"/>
      <c r="D45" s="161"/>
      <c r="E45" s="161"/>
      <c r="F45" s="161"/>
      <c r="G45" s="138"/>
      <c r="H45" s="138"/>
      <c r="I45" s="138"/>
      <c r="J45" s="138"/>
      <c r="K45" s="138"/>
      <c r="L45" s="138"/>
      <c r="M45" s="138"/>
      <c r="N45" s="138"/>
    </row>
    <row r="46" spans="1:14" x14ac:dyDescent="0.25">
      <c r="A46" s="88" t="s">
        <v>94</v>
      </c>
      <c r="B46" s="92">
        <f>IF(B18="","",ROUND(B18,1))</f>
        <v>0.2</v>
      </c>
      <c r="C46" s="92">
        <f>IF(C18="","",ROUND(C18,1))</f>
        <v>10</v>
      </c>
      <c r="D46" s="92">
        <f>IF(D18="","",ROUND(D18,1))</f>
        <v>30</v>
      </c>
      <c r="E46" s="92">
        <f>IF(E18="","",ROUND(E18,1))</f>
        <v>40</v>
      </c>
      <c r="F46" s="93">
        <f>IF(F18="","",ROUND(F18,1))</f>
        <v>55</v>
      </c>
      <c r="G46" s="116" t="s">
        <v>30</v>
      </c>
      <c r="H46" s="159">
        <f>IF(B24="","",IF(B24="","",_xlfn.STDEV.S(B24:F24)*1000))</f>
        <v>1.3038404809911695E-2</v>
      </c>
      <c r="I46" s="159"/>
      <c r="J46" s="159"/>
      <c r="K46" s="159"/>
      <c r="L46" s="160"/>
    </row>
    <row r="47" spans="1:14" x14ac:dyDescent="0.25">
      <c r="A47" s="90" t="str">
        <f>A20</f>
        <v xml:space="preserve">Ej (mg) </v>
      </c>
      <c r="B47" s="91">
        <f>B20</f>
        <v>-7.9999999999524896E-4</v>
      </c>
      <c r="C47" s="91">
        <f>C20</f>
        <v>4.5999999999324359E-2</v>
      </c>
      <c r="D47" s="91">
        <f>D20</f>
        <v>5.2000000000163027E-2</v>
      </c>
      <c r="E47" s="91">
        <f>E20</f>
        <v>8.3999999993977781E-2</v>
      </c>
      <c r="F47" s="60">
        <f>F20</f>
        <v>6.4999999999315605E-2</v>
      </c>
      <c r="G47" s="116" t="s">
        <v>2</v>
      </c>
      <c r="H47" s="172">
        <f>IF($A$2="","",F8/SQRT(6))</f>
        <v>4.0824829046386306E-3</v>
      </c>
      <c r="I47" s="173"/>
      <c r="J47" s="173"/>
      <c r="K47" s="173"/>
      <c r="L47" s="174"/>
    </row>
    <row r="48" spans="1:14" x14ac:dyDescent="0.25">
      <c r="A48" s="89" t="s">
        <v>87</v>
      </c>
      <c r="B48" s="79">
        <f t="shared" ref="B48:F48" si="1">ROUND(2*H52,2)</f>
        <v>0.03</v>
      </c>
      <c r="C48" s="79">
        <f t="shared" si="1"/>
        <v>0.04</v>
      </c>
      <c r="D48" s="79">
        <f t="shared" si="1"/>
        <v>7.0000000000000007E-2</v>
      </c>
      <c r="E48" s="79">
        <f t="shared" si="1"/>
        <v>0.08</v>
      </c>
      <c r="F48" s="80">
        <f t="shared" si="1"/>
        <v>7.0000000000000007E-2</v>
      </c>
      <c r="G48" s="116" t="s">
        <v>34</v>
      </c>
      <c r="H48" s="172">
        <f t="shared" ref="H48" si="2">H47</f>
        <v>4.0824829046386306E-3</v>
      </c>
      <c r="I48" s="173"/>
      <c r="J48" s="173"/>
      <c r="K48" s="173"/>
      <c r="L48" s="174"/>
    </row>
    <row r="49" spans="7:12" ht="15" customHeight="1" x14ac:dyDescent="0.25">
      <c r="G49" s="116" t="s">
        <v>37</v>
      </c>
      <c r="H49" s="117">
        <f>IF(B17="","",SQRT(SUMSQ(VLOOKUP(B17,Liste!$T$4:$V$37,3,FALSE)/2,VLOOKUP(B17,Liste!$T$4:$V$37,3,FALSE)/2)))</f>
        <v>4.2426406871192849E-3</v>
      </c>
      <c r="I49" s="117">
        <f>IF(C17="","",SQRT(SUMSQ(VLOOKUP(C17,Liste!$T$4:$V$37,3,FALSE)/2,VLOOKUP(C17,Liste!$T$4:$V$37,3,FALSE)/2)))</f>
        <v>1.4142135623730951E-2</v>
      </c>
      <c r="J49" s="117">
        <f>IF(D17="","",SQRT(SUMSQ(VLOOKUP(D17,Liste!$T$4:$V$37,3,FALSE)/2,VLOOKUP(D17,Liste!$T$4:$V$37,3,FALSE)/2)))</f>
        <v>3.1819805153394637E-2</v>
      </c>
      <c r="K49" s="117">
        <f>IF(E17="","",SQRT(SUMSQ(VLOOKUP(E17,Liste!$T$4:$V$37,3,FALSE)/2,VLOOKUP(E17,Liste!$T$4:$V$37,3,FALSE)/2)))</f>
        <v>3.5355339059327383E-2</v>
      </c>
      <c r="L49" s="118">
        <f>IF(F17="","",SQRT(SUMSQ(VLOOKUP(F17,Liste!$T$4:$V$37,3,FALSE)/2,VLOOKUP(F17,Liste!$T$4:$V$37,3,FALSE)/2)))</f>
        <v>3.2526911934581182E-2</v>
      </c>
    </row>
    <row r="50" spans="7:12" ht="15" customHeight="1" x14ac:dyDescent="0.25">
      <c r="G50" s="116" t="s">
        <v>31</v>
      </c>
      <c r="H50" s="117">
        <f>IF($F$9="","",$F$9*$C$10/SQRT(3)*B46*1000)</f>
        <v>3.4641016151377425E-5</v>
      </c>
      <c r="I50" s="117">
        <f>IF($F$9="","",$F$9*$C$10/SQRT(3)*C46*1000)</f>
        <v>1.7320508075688711E-3</v>
      </c>
      <c r="J50" s="117">
        <f>IF($F$9="","",$F$9*$C$10/SQRT(3)*D46*1000)</f>
        <v>5.1961524227066135E-3</v>
      </c>
      <c r="K50" s="117">
        <f>IF($F$9="","",$F$9*$C$10/SQRT(3)*E46*1000)</f>
        <v>6.9282032302754844E-3</v>
      </c>
      <c r="L50" s="118">
        <f>IF($F$9="","",$F$9*$C$10/SQRT(3)*F46*1000)</f>
        <v>9.5262794416287912E-3</v>
      </c>
    </row>
    <row r="51" spans="7:12" ht="15" customHeight="1" thickBot="1" x14ac:dyDescent="0.3">
      <c r="G51" s="119" t="s">
        <v>16</v>
      </c>
      <c r="H51" s="175" t="str">
        <f>IF(H46="","","Négligeable car les masses sont réparties de telle manière que le centre de gravité se trouve sur la verticale du centre du plateau.")</f>
        <v>Négligeable car les masses sont réparties de telle manière que le centre de gravité se trouve sur la verticale du centre du plateau.</v>
      </c>
      <c r="I51" s="175"/>
      <c r="J51" s="175"/>
      <c r="K51" s="175"/>
      <c r="L51" s="176"/>
    </row>
    <row r="52" spans="7:12" ht="15" customHeight="1" thickTop="1" x14ac:dyDescent="0.25">
      <c r="G52" s="120" t="s">
        <v>86</v>
      </c>
      <c r="H52" s="121">
        <f>IF(B46="","",SQRT(SUMSQ($H$46,H47,H48,H49,H50,$H$51)))</f>
        <v>1.4877316065758022E-2</v>
      </c>
      <c r="I52" s="121">
        <f>IF(C46="","",SQRT(SUMSQ($H$46,I47,I48,I49,I50,$H$51)))</f>
        <v>1.9313207915494734E-2</v>
      </c>
      <c r="J52" s="121">
        <f>IF(D46="","",SQRT(SUMSQ($H$46,J47,J48,J49,J50,$H$51)))</f>
        <v>3.4777866524373348E-2</v>
      </c>
      <c r="K52" s="121">
        <f>IF(E46="","",SQRT(SUMSQ($H$46,K47,K48,K49,K50,$H$51)))</f>
        <v>3.8314488121168062E-2</v>
      </c>
      <c r="L52" s="122">
        <f>IF(F46="","",SQRT(SUMSQ($H$46,L47,L48,L49,L50,$H$51)))</f>
        <v>3.631459761565764E-2</v>
      </c>
    </row>
    <row r="53" spans="7:12" ht="15" customHeight="1" x14ac:dyDescent="0.25"/>
    <row r="54" spans="7:12" ht="15" customHeight="1" x14ac:dyDescent="0.25"/>
    <row r="55" spans="7:12" ht="15" customHeight="1" x14ac:dyDescent="0.25"/>
    <row r="56" spans="7:12" ht="15" customHeight="1" x14ac:dyDescent="0.25"/>
    <row r="57" spans="7:12" ht="15" customHeight="1" x14ac:dyDescent="0.25"/>
    <row r="58" spans="7:12" ht="15" customHeight="1" x14ac:dyDescent="0.25"/>
    <row r="59" spans="7:12" ht="15" customHeight="1" x14ac:dyDescent="0.25"/>
    <row r="60" spans="7:12" ht="15" customHeight="1" x14ac:dyDescent="0.25"/>
    <row r="61" spans="7:12" ht="15" customHeight="1" x14ac:dyDescent="0.25"/>
    <row r="62" spans="7:12" ht="15" customHeight="1" x14ac:dyDescent="0.25"/>
    <row r="63" spans="7:12" ht="15" customHeight="1" x14ac:dyDescent="0.25"/>
    <row r="64" spans="7:12" ht="15" customHeight="1" x14ac:dyDescent="0.25"/>
    <row r="65" spans="1:14" ht="15" customHeight="1" x14ac:dyDescent="0.25"/>
    <row r="66" spans="1:14" s="111" customFormat="1" ht="20.25" customHeight="1" x14ac:dyDescent="0.25">
      <c r="A66" s="161" t="s">
        <v>100</v>
      </c>
      <c r="B66" s="161"/>
      <c r="C66" s="161"/>
      <c r="D66" s="161"/>
      <c r="E66" s="161"/>
      <c r="F66" s="161"/>
      <c r="G66" s="138"/>
      <c r="H66" s="138"/>
      <c r="I66" s="138"/>
      <c r="J66" s="138"/>
      <c r="K66" s="138"/>
      <c r="L66" s="138"/>
      <c r="M66" s="138"/>
      <c r="N66" s="138"/>
    </row>
    <row r="67" spans="1:14" x14ac:dyDescent="0.25">
      <c r="A67" s="162" t="s">
        <v>92</v>
      </c>
      <c r="B67" s="162"/>
      <c r="C67" s="162"/>
      <c r="D67" s="162"/>
      <c r="E67" s="162"/>
      <c r="F67" s="163"/>
      <c r="G67" s="123" t="str">
        <f t="shared" ref="G67:L67" si="3">A46</f>
        <v>Valeur nominale (g)</v>
      </c>
      <c r="H67" s="124">
        <f t="shared" si="3"/>
        <v>0.2</v>
      </c>
      <c r="I67" s="124">
        <f t="shared" si="3"/>
        <v>10</v>
      </c>
      <c r="J67" s="124">
        <f t="shared" si="3"/>
        <v>30</v>
      </c>
      <c r="K67" s="124">
        <f t="shared" si="3"/>
        <v>40</v>
      </c>
      <c r="L67" s="125">
        <f t="shared" si="3"/>
        <v>55</v>
      </c>
    </row>
    <row r="68" spans="1:14" x14ac:dyDescent="0.25">
      <c r="A68" s="164" t="str">
        <f>IF(H77="","","U(IP) (mg) = "&amp;ROUND(INTERCEPT(H77:L77,H67:L67),3)&amp;"  + "&amp;ROUND(SLOPE(H77:L77,H67:L67),6)&amp;" . x")</f>
        <v>U(IP) (mg) = 0,049  + 0,00818 . x</v>
      </c>
      <c r="B68" s="164"/>
      <c r="C68" s="164"/>
      <c r="D68" s="164"/>
      <c r="E68" s="164"/>
      <c r="F68" s="165"/>
      <c r="G68" s="116" t="s">
        <v>30</v>
      </c>
      <c r="H68" s="166">
        <f>IF(H46="","",H46)</f>
        <v>1.3038404809911695E-2</v>
      </c>
      <c r="I68" s="166"/>
      <c r="J68" s="166"/>
      <c r="K68" s="166"/>
      <c r="L68" s="167"/>
    </row>
    <row r="69" spans="1:14" x14ac:dyDescent="0.25">
      <c r="G69" s="116" t="s">
        <v>2</v>
      </c>
      <c r="H69" s="166">
        <f>H47</f>
        <v>4.0824829046386306E-3</v>
      </c>
      <c r="I69" s="166"/>
      <c r="J69" s="166"/>
      <c r="K69" s="166"/>
      <c r="L69" s="167"/>
    </row>
    <row r="70" spans="1:14" x14ac:dyDescent="0.25">
      <c r="A70" s="88" t="str">
        <f t="shared" ref="A70:F70" si="4">G67</f>
        <v>Valeur nominale (g)</v>
      </c>
      <c r="B70" s="85">
        <f t="shared" si="4"/>
        <v>0.2</v>
      </c>
      <c r="C70" s="85">
        <f t="shared" si="4"/>
        <v>10</v>
      </c>
      <c r="D70" s="85">
        <f t="shared" si="4"/>
        <v>30</v>
      </c>
      <c r="E70" s="85">
        <f t="shared" si="4"/>
        <v>40</v>
      </c>
      <c r="F70" s="86">
        <f t="shared" si="4"/>
        <v>55</v>
      </c>
      <c r="G70" s="116" t="s">
        <v>34</v>
      </c>
      <c r="H70" s="166">
        <f>H48</f>
        <v>4.0824829046386306E-3</v>
      </c>
      <c r="I70" s="166"/>
      <c r="J70" s="166"/>
      <c r="K70" s="166"/>
      <c r="L70" s="167"/>
    </row>
    <row r="71" spans="1:14" x14ac:dyDescent="0.25">
      <c r="A71" s="89" t="s">
        <v>55</v>
      </c>
      <c r="B71" s="79">
        <f>SLOPE($H$77:$L$77,$H$67:$L$67)*B70+INTERCEPT($H$77:$L$77,$H$67:$L$67)</f>
        <v>5.0453130966793186E-2</v>
      </c>
      <c r="C71" s="79">
        <f>SLOPE($H$77:$L$77,$H$67:$L$67)*C70+INTERCEPT($H$77:$L$77,$H$67:$L$67)</f>
        <v>0.13061554961528152</v>
      </c>
      <c r="D71" s="79">
        <f>SLOPE($H$77:$L$77,$H$67:$L$67)*D70+INTERCEPT($H$77:$L$77,$H$67:$L$67)</f>
        <v>0.29421232236729855</v>
      </c>
      <c r="E71" s="79">
        <f>SLOPE($H$77:$L$77,$H$67:$L$67)*E70+INTERCEPT($H$77:$L$77,$H$67:$L$67)</f>
        <v>0.376010708743307</v>
      </c>
      <c r="F71" s="80">
        <f>SLOPE($H$77:$L$77,$H$67:$L$67)*F70+INTERCEPT($H$77:$L$77,$H$67:$L$67)</f>
        <v>0.49870828830731984</v>
      </c>
      <c r="G71" s="116" t="s">
        <v>35</v>
      </c>
      <c r="H71" s="126">
        <f>IF(H52="","",SQRT(SUMSQ(H52,B20/2)))</f>
        <v>1.4882692408313082E-2</v>
      </c>
      <c r="I71" s="126">
        <f>IF(I52="","",SQRT(SUMSQ(I52,C20/2)))</f>
        <v>3.0033314834889416E-2</v>
      </c>
      <c r="J71" s="126">
        <f>IF(J52="","",SQRT(SUMSQ(J52,D20/2)))</f>
        <v>4.3422344478290978E-2</v>
      </c>
      <c r="K71" s="126">
        <f>IF(K52="","",SQRT(SUMSQ(K52,E20/2)))</f>
        <v>5.685068161186984E-2</v>
      </c>
      <c r="L71" s="127">
        <f>IF(L52="","",SQRT(SUMSQ(L52,F20/2)))</f>
        <v>4.8733971723684544E-2</v>
      </c>
    </row>
    <row r="72" spans="1:14" x14ac:dyDescent="0.25">
      <c r="G72" s="116" t="s">
        <v>56</v>
      </c>
      <c r="H72" s="126">
        <f>IF(H52="","",H52)</f>
        <v>1.4877316065758022E-2</v>
      </c>
      <c r="I72" s="126">
        <f>IF(I52="","",I52)</f>
        <v>1.9313207915494734E-2</v>
      </c>
      <c r="J72" s="126">
        <f>IF(J52="","",J52)</f>
        <v>3.4777866524373348E-2</v>
      </c>
      <c r="K72" s="126">
        <f>IF(K52="","",K52)</f>
        <v>3.8314488121168062E-2</v>
      </c>
      <c r="L72" s="127">
        <f>IF(L52="","",L52)</f>
        <v>3.631459761565764E-2</v>
      </c>
    </row>
    <row r="73" spans="1:14" x14ac:dyDescent="0.25">
      <c r="G73" s="116" t="s">
        <v>31</v>
      </c>
      <c r="H73" s="126">
        <f>IF($F$9="","",$F$9*$C$11/SQRT(3)*H67*1000)</f>
        <v>8.660254037844387E-4</v>
      </c>
      <c r="I73" s="126">
        <f>IF($F$9="","",$F$9*$C$11/SQRT(3)*I67*1000)</f>
        <v>4.3301270189221933E-2</v>
      </c>
      <c r="J73" s="126">
        <f>IF($F$9="","",$F$9*$C$11/SQRT(3)*J67*1000)</f>
        <v>0.12990381056766581</v>
      </c>
      <c r="K73" s="126">
        <f>IF($F$9="","",$F$9*$C$11/SQRT(3)*K67*1000)</f>
        <v>0.17320508075688773</v>
      </c>
      <c r="L73" s="127">
        <f>IF($F$9="","",$F$9*$C$11/SQRT(3)*L67*1000)</f>
        <v>0.23815698604072064</v>
      </c>
    </row>
    <row r="74" spans="1:14" x14ac:dyDescent="0.25">
      <c r="G74" s="116" t="s">
        <v>16</v>
      </c>
      <c r="H74" s="166">
        <f>IF(B28="","",IF(B28="","",(MAX(C29:F29)/SQRT(6))*1000))</f>
        <v>1.2247448713452232E-2</v>
      </c>
      <c r="I74" s="166"/>
      <c r="J74" s="166"/>
      <c r="K74" s="166"/>
      <c r="L74" s="167"/>
    </row>
    <row r="75" spans="1:14" ht="15.75" thickBot="1" x14ac:dyDescent="0.3">
      <c r="G75" s="128" t="s">
        <v>54</v>
      </c>
      <c r="H75" s="168">
        <f>IF(H68="","",0)</f>
        <v>0</v>
      </c>
      <c r="I75" s="168"/>
      <c r="J75" s="168"/>
      <c r="K75" s="168"/>
      <c r="L75" s="169"/>
    </row>
    <row r="76" spans="1:14" ht="15.75" thickTop="1" x14ac:dyDescent="0.25">
      <c r="G76" s="129" t="s">
        <v>101</v>
      </c>
      <c r="H76" s="130">
        <f>IF($H$75="","",SQRT(SUMSQ($H$68,$H$69,$H$70,H71,H72,H73,$H$74,$H$75)))</f>
        <v>2.8229636907867343E-2</v>
      </c>
      <c r="I76" s="130">
        <f>IF($H$75="","",SQRT(SUMSQ($H$68,$H$69,$H$70,I71,I72,I73,$H$74,$H$75)))</f>
        <v>5.9188962934552426E-2</v>
      </c>
      <c r="J76" s="130">
        <f>IF($H$75="","",SQRT(SUMSQ($H$68,$H$69,$H$70,J71,J72,J73,$H$74,$H$75)))</f>
        <v>0.14255992891863969</v>
      </c>
      <c r="K76" s="130">
        <f>IF($H$75="","",SQRT(SUMSQ($H$68,$H$69,$H$70,K71,K72,K73,$H$74,$H$75)))</f>
        <v>0.18722535440754393</v>
      </c>
      <c r="L76" s="131">
        <f>IF($H$75="","",SQRT(SUMSQ($H$68,$H$69,$H$70,L71,L72,L73,$H$74,$H$75)))</f>
        <v>0.24650726831730768</v>
      </c>
    </row>
    <row r="77" spans="1:14" x14ac:dyDescent="0.25">
      <c r="G77" s="156" t="s">
        <v>102</v>
      </c>
      <c r="H77" s="133">
        <f>IF(H76="","",ROUNDUP(2*H76,2))</f>
        <v>6.0000000000000005E-2</v>
      </c>
      <c r="I77" s="133">
        <f>IF(I76="","",ROUNDUP(2*I76,2))</f>
        <v>0.12</v>
      </c>
      <c r="J77" s="133">
        <f>IF(J76="","",ROUNDUP(2*J76,2))</f>
        <v>0.29000000000000004</v>
      </c>
      <c r="K77" s="133">
        <f>IF(K76="","",ROUNDUP(2*K76,2))</f>
        <v>0.38</v>
      </c>
      <c r="L77" s="134">
        <f>IF(L76="","",ROUNDUP(2*L76,2))</f>
        <v>0.5</v>
      </c>
    </row>
    <row r="78" spans="1:14" x14ac:dyDescent="0.25">
      <c r="G78" s="135"/>
      <c r="J78" s="24"/>
      <c r="K78" s="24"/>
      <c r="L78" s="24"/>
      <c r="M78" s="24"/>
      <c r="N78" s="24"/>
    </row>
    <row r="79" spans="1:14" x14ac:dyDescent="0.25">
      <c r="J79" s="170"/>
      <c r="K79" s="171"/>
      <c r="L79" s="171"/>
      <c r="M79" s="171"/>
      <c r="N79" s="171"/>
    </row>
    <row r="80" spans="1:14" x14ac:dyDescent="0.25">
      <c r="J80" s="136"/>
      <c r="K80" s="137"/>
      <c r="L80" s="137"/>
      <c r="M80" s="137"/>
      <c r="N80" s="137"/>
    </row>
    <row r="81" spans="1:14" x14ac:dyDescent="0.25">
      <c r="J81" s="136"/>
      <c r="K81" s="137"/>
      <c r="L81" s="137"/>
      <c r="M81" s="137"/>
      <c r="N81" s="137"/>
    </row>
    <row r="82" spans="1:14" x14ac:dyDescent="0.25">
      <c r="J82" s="136"/>
      <c r="K82" s="137"/>
      <c r="L82" s="137"/>
      <c r="M82" s="137"/>
      <c r="N82" s="137"/>
    </row>
    <row r="83" spans="1:14" x14ac:dyDescent="0.25">
      <c r="J83" s="136"/>
      <c r="K83" s="137"/>
      <c r="L83" s="137"/>
      <c r="M83" s="137"/>
      <c r="N83" s="137"/>
    </row>
    <row r="84" spans="1:14" x14ac:dyDescent="0.25">
      <c r="J84" s="136"/>
      <c r="K84" s="137"/>
      <c r="L84" s="137"/>
      <c r="M84" s="137"/>
      <c r="N84" s="137"/>
    </row>
    <row r="85" spans="1:14" x14ac:dyDescent="0.25">
      <c r="J85" s="136"/>
      <c r="K85" s="137"/>
      <c r="L85" s="137"/>
      <c r="M85" s="137"/>
      <c r="N85" s="137"/>
    </row>
    <row r="86" spans="1:14" x14ac:dyDescent="0.25">
      <c r="J86" s="136"/>
      <c r="K86" s="137"/>
      <c r="L86" s="137"/>
      <c r="M86" s="137"/>
      <c r="N86" s="137"/>
    </row>
    <row r="87" spans="1:14" x14ac:dyDescent="0.25">
      <c r="J87" s="136"/>
      <c r="K87" s="137"/>
      <c r="L87" s="137"/>
      <c r="M87" s="137"/>
      <c r="N87" s="137"/>
    </row>
    <row r="88" spans="1:14" x14ac:dyDescent="0.25">
      <c r="J88" s="136"/>
      <c r="K88" s="137"/>
      <c r="L88" s="137"/>
      <c r="M88" s="137"/>
      <c r="N88" s="137"/>
    </row>
    <row r="89" spans="1:14" s="110" customFormat="1" ht="21.75" customHeight="1" x14ac:dyDescent="0.35">
      <c r="A89" s="158" t="s">
        <v>103</v>
      </c>
      <c r="B89" s="158"/>
      <c r="C89" s="158"/>
      <c r="D89" s="158"/>
      <c r="E89" s="158"/>
      <c r="F89" s="158"/>
      <c r="G89" s="113"/>
      <c r="H89" s="113"/>
      <c r="I89" s="113"/>
      <c r="J89" s="136"/>
      <c r="K89" s="137"/>
      <c r="L89" s="137"/>
      <c r="M89" s="137"/>
      <c r="N89" s="137"/>
    </row>
    <row r="90" spans="1:14" x14ac:dyDescent="0.25">
      <c r="J90" s="136"/>
      <c r="K90" s="137"/>
      <c r="L90" s="137"/>
      <c r="M90" s="137"/>
      <c r="N90" s="137"/>
    </row>
    <row r="91" spans="1:14" s="94" customFormat="1" ht="33.75" customHeight="1" x14ac:dyDescent="0.25">
      <c r="A91" s="190" t="s">
        <v>135</v>
      </c>
      <c r="B91" s="190"/>
      <c r="C91" s="190"/>
      <c r="D91" s="190"/>
      <c r="E91" s="190"/>
      <c r="F91" s="190"/>
      <c r="G91" s="157" t="s">
        <v>136</v>
      </c>
      <c r="H91" s="139">
        <v>1.4999999999999999E-4</v>
      </c>
      <c r="I91" s="138"/>
      <c r="J91" s="139"/>
      <c r="K91" s="138"/>
      <c r="L91" s="138"/>
      <c r="M91" s="138"/>
      <c r="N91" s="138"/>
    </row>
    <row r="92" spans="1:14" x14ac:dyDescent="0.25">
      <c r="J92" s="136"/>
      <c r="K92" s="137"/>
      <c r="L92" s="137"/>
      <c r="M92" s="137"/>
      <c r="N92" s="137"/>
    </row>
    <row r="93" spans="1:14" s="111" customFormat="1" ht="20.25" customHeight="1" x14ac:dyDescent="0.25">
      <c r="A93" s="161" t="s">
        <v>104</v>
      </c>
      <c r="B93" s="161"/>
      <c r="C93" s="161"/>
      <c r="D93" s="161"/>
      <c r="E93" s="161"/>
      <c r="F93" s="161"/>
      <c r="G93" s="138"/>
      <c r="H93" s="138"/>
      <c r="I93" s="138"/>
      <c r="J93" s="139"/>
      <c r="K93" s="138"/>
      <c r="L93" s="138"/>
      <c r="M93" s="138"/>
      <c r="N93" s="138"/>
    </row>
    <row r="94" spans="1:14" ht="15" customHeight="1" x14ac:dyDescent="0.25">
      <c r="A94" s="88" t="str">
        <f t="shared" ref="A94:F94" si="5">G94</f>
        <v>Valeur nominale (g)</v>
      </c>
      <c r="B94" s="85">
        <f t="shared" si="5"/>
        <v>0.2</v>
      </c>
      <c r="C94" s="85">
        <f t="shared" si="5"/>
        <v>10</v>
      </c>
      <c r="D94" s="85">
        <f t="shared" si="5"/>
        <v>30</v>
      </c>
      <c r="E94" s="85">
        <f t="shared" si="5"/>
        <v>40</v>
      </c>
      <c r="F94" s="86">
        <f t="shared" si="5"/>
        <v>55</v>
      </c>
      <c r="G94" s="123" t="str">
        <f>G67</f>
        <v>Valeur nominale (g)</v>
      </c>
      <c r="H94" s="124">
        <f>H67</f>
        <v>0.2</v>
      </c>
      <c r="I94" s="124">
        <f>I67</f>
        <v>10</v>
      </c>
      <c r="J94" s="124">
        <f>J67</f>
        <v>30</v>
      </c>
      <c r="K94" s="124">
        <f>K67</f>
        <v>40</v>
      </c>
      <c r="L94" s="125">
        <f>L67</f>
        <v>55</v>
      </c>
      <c r="M94" s="137"/>
      <c r="N94" s="137"/>
    </row>
    <row r="95" spans="1:14" ht="15" customHeight="1" x14ac:dyDescent="0.25">
      <c r="A95" s="87" t="str">
        <f t="shared" ref="A95:F95" si="6">G98</f>
        <v>U(M) (mg)</v>
      </c>
      <c r="B95" s="79">
        <f t="shared" si="6"/>
        <v>0.08</v>
      </c>
      <c r="C95" s="79">
        <f t="shared" si="6"/>
        <v>3.01</v>
      </c>
      <c r="D95" s="79">
        <f t="shared" si="6"/>
        <v>9.01</v>
      </c>
      <c r="E95" s="79">
        <f t="shared" si="6"/>
        <v>12.01</v>
      </c>
      <c r="F95" s="80">
        <f t="shared" si="6"/>
        <v>16.510000000000002</v>
      </c>
      <c r="G95" s="140" t="s">
        <v>105</v>
      </c>
      <c r="H95" s="126">
        <f>(SLOPE($H$77:$L$77,$H$67:$L$67)*B70+INTERCEPT($H$77:$L$77,$H$67:$L$67))/2</f>
        <v>2.5226565483396593E-2</v>
      </c>
      <c r="I95" s="126">
        <f>(SLOPE($H$77:$L$77,$H$67:$L$67)*C70+INTERCEPT($H$77:$L$77,$H$67:$L$67))/2</f>
        <v>6.5307774807640759E-2</v>
      </c>
      <c r="J95" s="126">
        <f>(SLOPE($H$77:$L$77,$H$67:$L$67)*D70+INTERCEPT($H$77:$L$77,$H$67:$L$67))/2</f>
        <v>0.14710616118364928</v>
      </c>
      <c r="K95" s="126">
        <f>(SLOPE($H$77:$L$77,$H$67:$L$67)*E70+INTERCEPT($H$77:$L$77,$H$67:$L$67))/2</f>
        <v>0.1880053543716535</v>
      </c>
      <c r="L95" s="127">
        <f>(SLOPE($H$77:$L$77,$H$67:$L$67)*F70+INTERCEPT($H$77:$L$77,$H$67:$L$67))/2</f>
        <v>0.24935414415365992</v>
      </c>
      <c r="M95" s="137"/>
      <c r="N95" s="137"/>
    </row>
    <row r="96" spans="1:14" ht="15" customHeight="1" thickBot="1" x14ac:dyDescent="0.3">
      <c r="G96" s="140" t="s">
        <v>106</v>
      </c>
      <c r="H96" s="126">
        <f t="shared" ref="H96:L96" si="7">$H$91*H94*1000</f>
        <v>0.03</v>
      </c>
      <c r="I96" s="153">
        <f t="shared" si="7"/>
        <v>1.4999999999999998</v>
      </c>
      <c r="J96" s="126">
        <f t="shared" si="7"/>
        <v>4.5</v>
      </c>
      <c r="K96" s="126">
        <f t="shared" si="7"/>
        <v>5.9999999999999991</v>
      </c>
      <c r="L96" s="127">
        <f t="shared" si="7"/>
        <v>8.2499999999999982</v>
      </c>
      <c r="M96" s="137"/>
      <c r="N96" s="137"/>
    </row>
    <row r="97" spans="1:16" ht="15.75" thickTop="1" x14ac:dyDescent="0.25">
      <c r="A97" s="81" t="s">
        <v>92</v>
      </c>
      <c r="G97" s="141" t="s">
        <v>107</v>
      </c>
      <c r="H97" s="130">
        <f>SQRT(SUMSQ(H95:H96))</f>
        <v>3.9196678508364662E-2</v>
      </c>
      <c r="I97" s="130">
        <f>SQRT(SUMSQ(I95:I96))</f>
        <v>1.501421028709244</v>
      </c>
      <c r="J97" s="130">
        <f>SQRT(SUMSQ(J95:J96))</f>
        <v>4.5024038271414737</v>
      </c>
      <c r="K97" s="130">
        <f>SQRT(SUMSQ(K95:K96))</f>
        <v>6.002944778462683</v>
      </c>
      <c r="L97" s="131">
        <f>SQRT(SUMSQ(L95:L96))</f>
        <v>8.2537674724459364</v>
      </c>
      <c r="M97" s="137"/>
    </row>
    <row r="98" spans="1:16" x14ac:dyDescent="0.25">
      <c r="C98" s="164" t="str">
        <f>IF(H94="","","U(M) (mg) = "&amp;ROUND(INTERCEPT(H98:L98,H94:L94),3)&amp;"  + "&amp;ROUND(SLOPE(H98:L98,H94:L94),6)&amp;" . x")</f>
        <v>U(M) (mg) = 0,016  + 0,299864 . x</v>
      </c>
      <c r="D98" s="164"/>
      <c r="E98" s="164"/>
      <c r="G98" s="132" t="s">
        <v>108</v>
      </c>
      <c r="H98" s="133">
        <f>ROUNDUP(H97*2,2)</f>
        <v>0.08</v>
      </c>
      <c r="I98" s="133">
        <f t="shared" ref="I98:L98" si="8">ROUNDUP(I97*2,2)</f>
        <v>3.01</v>
      </c>
      <c r="J98" s="133">
        <f t="shared" si="8"/>
        <v>9.01</v>
      </c>
      <c r="K98" s="133">
        <f t="shared" si="8"/>
        <v>12.01</v>
      </c>
      <c r="L98" s="134">
        <f t="shared" si="8"/>
        <v>16.510000000000002</v>
      </c>
    </row>
    <row r="101" spans="1:16" s="111" customFormat="1" ht="20.25" customHeight="1" x14ac:dyDescent="0.25">
      <c r="A101" s="189" t="s">
        <v>118</v>
      </c>
      <c r="B101" s="189"/>
      <c r="C101" s="189"/>
      <c r="D101" s="189"/>
      <c r="E101" s="189"/>
      <c r="F101" s="189"/>
      <c r="G101" s="138"/>
      <c r="H101" s="138"/>
      <c r="I101" s="138"/>
      <c r="J101" s="138"/>
      <c r="K101" s="138"/>
      <c r="L101" s="138"/>
      <c r="M101" s="138"/>
      <c r="N101" s="138"/>
    </row>
    <row r="102" spans="1:16" ht="15" customHeight="1" x14ac:dyDescent="0.25">
      <c r="A102" s="31" t="s">
        <v>88</v>
      </c>
      <c r="B102" s="59">
        <f>IF(H67="","",H67)</f>
        <v>0.2</v>
      </c>
      <c r="C102" s="59">
        <f>IF(I67="","",I67)</f>
        <v>10</v>
      </c>
      <c r="D102" s="59">
        <f>IF(J67="","",J67)</f>
        <v>30</v>
      </c>
      <c r="E102" s="59">
        <f>IF(K67="","",K67)</f>
        <v>40</v>
      </c>
      <c r="F102" s="60">
        <f>IF(L67="","",L67)</f>
        <v>55</v>
      </c>
      <c r="M102" s="137"/>
      <c r="N102" s="137"/>
    </row>
    <row r="103" spans="1:16" ht="15" customHeight="1" x14ac:dyDescent="0.25">
      <c r="A103" s="31" t="s">
        <v>59</v>
      </c>
      <c r="B103" s="91">
        <f>G107</f>
        <v>1</v>
      </c>
      <c r="C103" s="91">
        <f>I107</f>
        <v>1</v>
      </c>
      <c r="D103" s="91">
        <f>K107</f>
        <v>1</v>
      </c>
      <c r="E103" s="91">
        <f>M107</f>
        <v>1</v>
      </c>
      <c r="F103" s="60">
        <f>N107</f>
        <v>1</v>
      </c>
      <c r="M103" s="137"/>
      <c r="N103" s="137"/>
    </row>
    <row r="104" spans="1:16" x14ac:dyDescent="0.25">
      <c r="A104" s="31" t="s">
        <v>119</v>
      </c>
      <c r="B104" s="59">
        <f>IF(B103="","",ROUNDUP((ABS(B20)+SLOPE(B95:F95,B94:F94)*B102+INTERCEPT(B95:F95,B94:F94)),2))</f>
        <v>0.08</v>
      </c>
      <c r="C104" s="59">
        <f>IF(C103="","",ROUNDUP((ABS(C20)+SLOPE(C95:G95,C94:G94)*C102+INTERCEPT(C95:G95,C94:G94)),2))</f>
        <v>3.0599999999999996</v>
      </c>
      <c r="D104" s="59">
        <f>IF(D103="","",ROUNDUP((ABS(D20)+SLOPE(D95:H95,D94:H94)*D102+INTERCEPT(D95:H95,D94:H94)),2))</f>
        <v>9.0499999999999989</v>
      </c>
      <c r="E104" s="59">
        <f>IF(E103="","",ROUNDUP((ABS(E20)+SLOPE(E95:I95,E94:I94)*E102+INTERCEPT(E95:I95,E94:I94)),2))</f>
        <v>11.7</v>
      </c>
      <c r="F104" s="60">
        <f>IF(F103="","",ROUNDUP((ABS(F20)+SLOPE(F95:J95,F94:J94)*F102+INTERCEPT(F95:J95,F94:J94)),2))</f>
        <v>13.379999999999999</v>
      </c>
    </row>
    <row r="105" spans="1:16" x14ac:dyDescent="0.25">
      <c r="A105" s="52" t="s">
        <v>60</v>
      </c>
      <c r="B105" s="53" t="str">
        <f t="shared" ref="B105:F105" si="9">IF(B104="","",IF(B104&gt;B103,"NON CONFORME","CONFORME"))</f>
        <v>CONFORME</v>
      </c>
      <c r="C105" s="53" t="str">
        <f t="shared" si="9"/>
        <v>NON CONFORME</v>
      </c>
      <c r="D105" s="53" t="str">
        <f t="shared" si="9"/>
        <v>NON CONFORME</v>
      </c>
      <c r="E105" s="53" t="str">
        <f t="shared" si="9"/>
        <v>NON CONFORME</v>
      </c>
      <c r="F105" s="54" t="str">
        <f t="shared" si="9"/>
        <v>NON CONFORME</v>
      </c>
      <c r="G105" s="187" t="s">
        <v>61</v>
      </c>
      <c r="H105" s="188"/>
      <c r="I105" s="188"/>
      <c r="J105" s="188"/>
      <c r="K105" s="188"/>
      <c r="L105" s="188"/>
    </row>
    <row r="106" spans="1:16" x14ac:dyDescent="0.25">
      <c r="G106" s="142">
        <v>0</v>
      </c>
      <c r="H106" s="143">
        <f>C102</f>
        <v>10</v>
      </c>
      <c r="I106" s="143">
        <f>C102</f>
        <v>10</v>
      </c>
      <c r="J106" s="143">
        <f>D102</f>
        <v>30</v>
      </c>
      <c r="K106" s="143">
        <f>D102</f>
        <v>30</v>
      </c>
      <c r="L106" s="143">
        <f>E102</f>
        <v>40</v>
      </c>
      <c r="M106" s="143">
        <f>E102</f>
        <v>40</v>
      </c>
      <c r="N106" s="144">
        <f>F102</f>
        <v>55</v>
      </c>
    </row>
    <row r="107" spans="1:16" s="111" customFormat="1" ht="20.25" customHeight="1" x14ac:dyDescent="0.25">
      <c r="A107" s="24"/>
      <c r="B107" s="24"/>
      <c r="C107" s="24"/>
      <c r="D107" s="24"/>
      <c r="E107" s="24"/>
      <c r="F107" s="24"/>
      <c r="G107" s="150">
        <f>IF($A$2="","",VLOOKUP($A$2,Liste!$A$5:$R$14,14,FALSE))</f>
        <v>1</v>
      </c>
      <c r="H107" s="151">
        <f>-H108</f>
        <v>1</v>
      </c>
      <c r="I107" s="151">
        <f>IF($A$2="","",VLOOKUP($A$2,Liste!$A$5:$R$14,15,FALSE))</f>
        <v>1</v>
      </c>
      <c r="J107" s="151">
        <f>-J108</f>
        <v>1</v>
      </c>
      <c r="K107" s="151">
        <f>IF($A$2="","",VLOOKUP($A$2,Liste!$A$5:$R$14,16,FALSE))</f>
        <v>1</v>
      </c>
      <c r="L107" s="151">
        <f>-L108</f>
        <v>1</v>
      </c>
      <c r="M107" s="151">
        <f>IF($A$2="","",VLOOKUP($A$2,Liste!$A$5:$R$14,17,FALSE))</f>
        <v>1</v>
      </c>
      <c r="N107" s="152">
        <f>M107</f>
        <v>1</v>
      </c>
    </row>
    <row r="108" spans="1:16" ht="15" customHeight="1" x14ac:dyDescent="0.25">
      <c r="G108" s="145">
        <f>IF(G107="","",-G107)</f>
        <v>-1</v>
      </c>
      <c r="H108" s="146">
        <f>G108</f>
        <v>-1</v>
      </c>
      <c r="I108" s="146">
        <f>IF(I107="","",-I107)</f>
        <v>-1</v>
      </c>
      <c r="J108" s="146">
        <f>I108</f>
        <v>-1</v>
      </c>
      <c r="K108" s="146">
        <f>IF(K107="","",-K107)</f>
        <v>-1</v>
      </c>
      <c r="L108" s="146">
        <f>K108</f>
        <v>-1</v>
      </c>
      <c r="M108" s="146">
        <f>IF(M107="","",-M107)</f>
        <v>-1</v>
      </c>
      <c r="N108" s="147">
        <f>IF(N107="","",-N107)</f>
        <v>-1</v>
      </c>
      <c r="P108" s="84"/>
    </row>
    <row r="109" spans="1:16" ht="15" customHeight="1" x14ac:dyDescent="0.25"/>
    <row r="110" spans="1:16" ht="15" customHeight="1" x14ac:dyDescent="0.25">
      <c r="J110" s="137"/>
      <c r="K110" s="137"/>
      <c r="L110" s="137"/>
      <c r="M110" s="137"/>
    </row>
    <row r="111" spans="1:16" ht="15" customHeight="1" x14ac:dyDescent="0.25">
      <c r="H111" s="137"/>
      <c r="K111" s="137"/>
      <c r="L111" s="137"/>
      <c r="M111" s="137"/>
    </row>
    <row r="112" spans="1:16" ht="15" customHeight="1" x14ac:dyDescent="0.25">
      <c r="H112" s="137"/>
      <c r="I112" s="137"/>
      <c r="L112" s="137"/>
      <c r="M112" s="137"/>
    </row>
    <row r="113" spans="8:30" x14ac:dyDescent="0.25">
      <c r="H113" s="137"/>
      <c r="I113" s="137"/>
      <c r="J113" s="137"/>
      <c r="K113" s="137"/>
      <c r="L113" s="137"/>
      <c r="M113" s="137"/>
      <c r="N113" s="137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</row>
    <row r="114" spans="8:30" x14ac:dyDescent="0.25">
      <c r="H114" s="137"/>
      <c r="I114" s="137"/>
      <c r="J114" s="137"/>
      <c r="K114" s="137"/>
    </row>
    <row r="115" spans="8:30" x14ac:dyDescent="0.25">
      <c r="M115" s="137"/>
    </row>
    <row r="141" ht="17.25" customHeight="1" x14ac:dyDescent="0.25"/>
  </sheetData>
  <sheetProtection algorithmName="SHA-512" hashValue="NqSnOkvWshAToXQSR7L6lkKUp0dzmiV6c+nqZKKGZjEOH4KQYJfkcmS228Gk0T3ls345nsWW5iPTyoBPsbnimA==" saltValue="am0IGl8zI2bqOw/a/UrW1Q==" spinCount="100000" sheet="1" formatCells="0" selectLockedCells="1"/>
  <mergeCells count="42">
    <mergeCell ref="G105:L105"/>
    <mergeCell ref="A101:F101"/>
    <mergeCell ref="A91:F91"/>
    <mergeCell ref="A93:F93"/>
    <mergeCell ref="C98:E98"/>
    <mergeCell ref="A89:F89"/>
    <mergeCell ref="A1:F1"/>
    <mergeCell ref="A26:F26"/>
    <mergeCell ref="D12:E12"/>
    <mergeCell ref="A14:F14"/>
    <mergeCell ref="A4:F4"/>
    <mergeCell ref="A5:C5"/>
    <mergeCell ref="D5:F5"/>
    <mergeCell ref="D6:E6"/>
    <mergeCell ref="A8:B8"/>
    <mergeCell ref="A9:B9"/>
    <mergeCell ref="A10:B10"/>
    <mergeCell ref="A22:F22"/>
    <mergeCell ref="A15:F15"/>
    <mergeCell ref="A29:B29"/>
    <mergeCell ref="A2:F2"/>
    <mergeCell ref="D7:E7"/>
    <mergeCell ref="A11:B11"/>
    <mergeCell ref="D8:E8"/>
    <mergeCell ref="D9:E9"/>
    <mergeCell ref="D10:E10"/>
    <mergeCell ref="D11:E11"/>
    <mergeCell ref="A44:F44"/>
    <mergeCell ref="H46:L46"/>
    <mergeCell ref="A45:F45"/>
    <mergeCell ref="A66:F66"/>
    <mergeCell ref="A67:F67"/>
    <mergeCell ref="A68:F68"/>
    <mergeCell ref="H74:L74"/>
    <mergeCell ref="H75:L75"/>
    <mergeCell ref="J79:N79"/>
    <mergeCell ref="H48:L48"/>
    <mergeCell ref="H47:L47"/>
    <mergeCell ref="H69:L69"/>
    <mergeCell ref="H70:L70"/>
    <mergeCell ref="H51:L51"/>
    <mergeCell ref="H68:L68"/>
  </mergeCells>
  <conditionalFormatting sqref="B20:F20 C10 A35:B35 D39:E39 A38:B38 B17:F18 D34:E34 F6:F12 A29:F29 A68 B46:F46 B48:F48 H46:L52 H67:L77 B94:F95 B102:F102 B104:F105 G107:G108 I107:I108 K107:K108 M107:N108 H94:L98">
    <cfRule type="containsBlanks" dxfId="20" priority="34">
      <formula>LEN(TRIM(A6))=0</formula>
    </cfRule>
  </conditionalFormatting>
  <conditionalFormatting sqref="B19:F19 C8:C9 A28:F28 C11 B24:F24 A29 A2">
    <cfRule type="containsBlanks" dxfId="19" priority="33">
      <formula>LEN(TRIM(A2))=0</formula>
    </cfRule>
  </conditionalFormatting>
  <conditionalFormatting sqref="B105:F105">
    <cfRule type="beginsWith" dxfId="18" priority="25" stopIfTrue="1" operator="beginsWith" text="NON CONFORME">
      <formula>LEFT(B105,LEN("NON CONFORME"))="NON CONFORME"</formula>
    </cfRule>
    <cfRule type="containsText" dxfId="17" priority="32" operator="containsText" text="CONFORME">
      <formula>NOT(ISERROR(SEARCH("CONFORME",B105)))</formula>
    </cfRule>
  </conditionalFormatting>
  <conditionalFormatting sqref="A33:C35 D33:E34 A38:C40 D39:E40 A20:G21 N20:XFD21 G12 G69:H70 H71:L72 H30:XFD30 A29:A30 C29:G29 G71:G73 G47:H48 A1:A2 A26:G28 N26:XFD29 N12:XFD12 A45:F46 G46:L46 G49:L52 A58:XFD59 G53:XFD57 A48:F48 M45:XFD52 M66:XFD66 F33:F35 A36:F37 F38:F40 A75:F78 G67:L68 A91 A89:F90 A41:F42 A92:F93 M145:XFD1048576 M104:XFD105 G139:L1048576 A134:F1048576 G104:L104 G105 N110:XFD112 G114:K114 J115:L115 G115 M98 A103 I107 K107 G107 G109:G112 R106:XFD106 Q107:XFD109 G113:XFD113 O101:XFD103 M116:XFD143 N114:XFD115 N97:XFD98 G116:L137 A95:F96 G97:L98 M107:N107 P108:P109 G108:N108 A87:F87 A66:F66 G79:J93 A31:F32 F6:F12 C8:C11 A5:A7 D5:D6 G5:XFD11 A22:XFD25 A13:XFD19 A3:XFD4 G99:XFD100 A99:F102 A104:F132 A44:XFD44 M67:M77 G74:L78 T67:XFD77 O78:XFD96 A67 A43:D43 G31:XFD43 G1:XFD2">
    <cfRule type="containsErrors" dxfId="16" priority="36">
      <formula>ISERROR(A1)</formula>
    </cfRule>
  </conditionalFormatting>
  <conditionalFormatting sqref="E38">
    <cfRule type="containsErrors" dxfId="15" priority="21">
      <formula>ISERROR(E38)</formula>
    </cfRule>
  </conditionalFormatting>
  <conditionalFormatting sqref="E35">
    <cfRule type="containsErrors" dxfId="14" priority="20">
      <formula>ISERROR(E35)</formula>
    </cfRule>
  </conditionalFormatting>
  <conditionalFormatting sqref="B70:F71">
    <cfRule type="containsBlanks" dxfId="13" priority="15">
      <formula>LEN(TRIM(B70))=0</formula>
    </cfRule>
  </conditionalFormatting>
  <conditionalFormatting sqref="A70:F71">
    <cfRule type="containsErrors" dxfId="12" priority="16">
      <formula>ISERROR(A70)</formula>
    </cfRule>
  </conditionalFormatting>
  <conditionalFormatting sqref="G96:H96 G94:L95">
    <cfRule type="containsErrors" dxfId="11" priority="12">
      <formula>ISERROR(G94)</formula>
    </cfRule>
  </conditionalFormatting>
  <conditionalFormatting sqref="A94:F94">
    <cfRule type="containsErrors" dxfId="10" priority="8">
      <formula>ISERROR(A94)</formula>
    </cfRule>
  </conditionalFormatting>
  <conditionalFormatting sqref="B103:F103">
    <cfRule type="containsBlanks" dxfId="9" priority="6">
      <formula>LEN(TRIM(B103))=0</formula>
    </cfRule>
  </conditionalFormatting>
  <conditionalFormatting sqref="B103:F103">
    <cfRule type="containsErrors" dxfId="8" priority="7">
      <formula>ISERROR(B103)</formula>
    </cfRule>
  </conditionalFormatting>
  <conditionalFormatting sqref="C98">
    <cfRule type="containsBlanks" dxfId="7" priority="4">
      <formula>LEN(TRIM(C98))=0</formula>
    </cfRule>
  </conditionalFormatting>
  <conditionalFormatting sqref="A98:B98 F98 A97:F97">
    <cfRule type="containsErrors" dxfId="6" priority="5">
      <formula>ISERROR(A97)</formula>
    </cfRule>
  </conditionalFormatting>
  <conditionalFormatting sqref="D7:D12">
    <cfRule type="containsErrors" dxfId="5" priority="3">
      <formula>ISERROR(D7)</formula>
    </cfRule>
  </conditionalFormatting>
  <conditionalFormatting sqref="A8:A11">
    <cfRule type="containsErrors" dxfId="4" priority="2">
      <formula>ISERROR(A8)</formula>
    </cfRule>
  </conditionalFormatting>
  <conditionalFormatting sqref="I96">
    <cfRule type="containsErrors" dxfId="3" priority="1">
      <formula>ISERROR(I96)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Z37"/>
  <sheetViews>
    <sheetView topLeftCell="H1" workbookViewId="0">
      <selection activeCell="N13" sqref="N13:R13"/>
    </sheetView>
  </sheetViews>
  <sheetFormatPr baseColWidth="10" defaultColWidth="12.140625" defaultRowHeight="15" x14ac:dyDescent="0.25"/>
  <cols>
    <col min="1" max="1" width="18.7109375" style="7" customWidth="1"/>
    <col min="2" max="8" width="12.140625" style="7"/>
    <col min="9" max="13" width="22.42578125" style="7" customWidth="1"/>
    <col min="14" max="19" width="12.140625" style="7"/>
    <col min="20" max="20" width="20.42578125" style="7" customWidth="1"/>
    <col min="21" max="21" width="12.140625" style="7"/>
    <col min="22" max="22" width="12.5703125" style="7" bestFit="1" customWidth="1"/>
    <col min="23" max="16384" width="12.140625" style="7"/>
  </cols>
  <sheetData>
    <row r="2" spans="1:26" s="18" customFormat="1" ht="26.25" x14ac:dyDescent="0.25">
      <c r="A2" s="196" t="s">
        <v>22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  <c r="T2" s="191" t="s">
        <v>23</v>
      </c>
      <c r="U2" s="192"/>
      <c r="V2" s="193"/>
      <c r="X2" s="191" t="s">
        <v>38</v>
      </c>
      <c r="Y2" s="192"/>
      <c r="Z2" s="193"/>
    </row>
    <row r="3" spans="1:26" s="13" customFormat="1" ht="45" x14ac:dyDescent="0.25">
      <c r="A3" s="199" t="s">
        <v>0</v>
      </c>
      <c r="B3" s="201" t="s">
        <v>1</v>
      </c>
      <c r="C3" s="201" t="s">
        <v>26</v>
      </c>
      <c r="D3" s="201" t="s">
        <v>25</v>
      </c>
      <c r="E3" s="201" t="s">
        <v>57</v>
      </c>
      <c r="F3" s="201" t="s">
        <v>27</v>
      </c>
      <c r="G3" s="201" t="s">
        <v>3</v>
      </c>
      <c r="H3" s="201" t="s">
        <v>63</v>
      </c>
      <c r="I3" s="194" t="s">
        <v>58</v>
      </c>
      <c r="J3" s="194"/>
      <c r="K3" s="194"/>
      <c r="L3" s="194"/>
      <c r="M3" s="194"/>
      <c r="N3" s="194" t="s">
        <v>59</v>
      </c>
      <c r="O3" s="194"/>
      <c r="P3" s="194"/>
      <c r="Q3" s="194"/>
      <c r="R3" s="195"/>
      <c r="T3" s="14" t="s">
        <v>24</v>
      </c>
      <c r="U3" s="11" t="s">
        <v>49</v>
      </c>
      <c r="V3" s="12" t="s">
        <v>50</v>
      </c>
      <c r="X3" s="15" t="s">
        <v>39</v>
      </c>
      <c r="Y3" s="16" t="s">
        <v>40</v>
      </c>
      <c r="Z3" s="17" t="s">
        <v>41</v>
      </c>
    </row>
    <row r="4" spans="1:26" x14ac:dyDescent="0.25">
      <c r="A4" s="200"/>
      <c r="B4" s="202"/>
      <c r="C4" s="202"/>
      <c r="D4" s="202"/>
      <c r="E4" s="202"/>
      <c r="F4" s="202"/>
      <c r="G4" s="202"/>
      <c r="H4" s="202"/>
      <c r="I4" s="98">
        <v>0</v>
      </c>
      <c r="J4" s="98">
        <v>0.25</v>
      </c>
      <c r="K4" s="98">
        <v>0.5</v>
      </c>
      <c r="L4" s="98">
        <v>0.75</v>
      </c>
      <c r="M4" s="98">
        <v>1</v>
      </c>
      <c r="N4" s="99" t="s">
        <v>109</v>
      </c>
      <c r="O4" s="99" t="s">
        <v>110</v>
      </c>
      <c r="P4" s="99" t="s">
        <v>111</v>
      </c>
      <c r="Q4" s="99" t="s">
        <v>112</v>
      </c>
      <c r="R4" s="100" t="s">
        <v>113</v>
      </c>
      <c r="T4" s="1" t="s">
        <v>48</v>
      </c>
      <c r="U4" s="2">
        <v>0.20000080000000001</v>
      </c>
      <c r="V4" s="71">
        <v>6.0000000000000001E-3</v>
      </c>
      <c r="X4" s="1">
        <v>1000</v>
      </c>
      <c r="Y4" s="19">
        <v>2.5000000000000001E-4</v>
      </c>
      <c r="Z4" s="20">
        <v>2.5000000000000001E-3</v>
      </c>
    </row>
    <row r="5" spans="1:26" x14ac:dyDescent="0.25">
      <c r="A5" s="95" t="s">
        <v>4</v>
      </c>
      <c r="B5" s="96" t="s">
        <v>43</v>
      </c>
      <c r="C5" s="96">
        <v>205</v>
      </c>
      <c r="D5" s="96">
        <v>0.1</v>
      </c>
      <c r="E5" s="96">
        <f t="shared" ref="E5:E13" si="0">IF((C5/D5)*1000&lt;1000,$Y$4,IF((C5/D5)*1000&lt;10000,$Y$5,IF((C5/D5)*1000&lt;100000,$Y$6,$Y$7)))</f>
        <v>1.5E-6</v>
      </c>
      <c r="F5" s="96" t="s">
        <v>45</v>
      </c>
      <c r="G5" s="96" t="s">
        <v>44</v>
      </c>
      <c r="H5" s="96" t="s">
        <v>62</v>
      </c>
      <c r="I5" s="96" t="str">
        <f t="shared" ref="I5:I12" si="1">$T$4</f>
        <v>PB200</v>
      </c>
      <c r="J5" s="96" t="str">
        <f t="shared" ref="J5:J12" si="2">$T$13</f>
        <v>ZB39H</v>
      </c>
      <c r="K5" s="96" t="str">
        <f t="shared" ref="K5:K12" si="3">$T$14</f>
        <v>ZB77M</v>
      </c>
      <c r="L5" s="96" t="s">
        <v>79</v>
      </c>
      <c r="M5" s="96" t="str">
        <f t="shared" ref="M5:M12" si="4">$T$15</f>
        <v>ZB90M</v>
      </c>
      <c r="N5" s="96">
        <f t="shared" ref="N5:R5" si="5">IF(I5="","",5)</f>
        <v>5</v>
      </c>
      <c r="O5" s="96">
        <f t="shared" si="5"/>
        <v>5</v>
      </c>
      <c r="P5" s="96">
        <f t="shared" si="5"/>
        <v>5</v>
      </c>
      <c r="Q5" s="96">
        <f t="shared" si="5"/>
        <v>5</v>
      </c>
      <c r="R5" s="97">
        <f t="shared" si="5"/>
        <v>5</v>
      </c>
      <c r="T5" s="1" t="s">
        <v>51</v>
      </c>
      <c r="U5" s="2">
        <v>1.000013</v>
      </c>
      <c r="V5" s="71">
        <v>0.01</v>
      </c>
      <c r="X5" s="1">
        <v>10000</v>
      </c>
      <c r="Y5" s="19">
        <v>2.5000000000000001E-5</v>
      </c>
      <c r="Z5" s="20">
        <v>2.5000000000000001E-4</v>
      </c>
    </row>
    <row r="6" spans="1:26" x14ac:dyDescent="0.25">
      <c r="A6" s="1" t="s">
        <v>5</v>
      </c>
      <c r="B6" s="2" t="s">
        <v>43</v>
      </c>
      <c r="C6" s="2">
        <v>810</v>
      </c>
      <c r="D6" s="2">
        <v>1</v>
      </c>
      <c r="E6" s="2">
        <f t="shared" si="0"/>
        <v>1.5E-6</v>
      </c>
      <c r="F6" s="2" t="s">
        <v>46</v>
      </c>
      <c r="G6" s="2" t="s">
        <v>44</v>
      </c>
      <c r="H6" s="2" t="s">
        <v>64</v>
      </c>
      <c r="I6" s="2" t="str">
        <f>T13</f>
        <v>ZB39H</v>
      </c>
      <c r="J6" s="2" t="str">
        <f>T15</f>
        <v>ZB90M</v>
      </c>
      <c r="K6" s="2" t="s">
        <v>80</v>
      </c>
      <c r="L6" s="2" t="s">
        <v>81</v>
      </c>
      <c r="M6" s="2" t="s">
        <v>82</v>
      </c>
      <c r="N6" s="2">
        <f t="shared" ref="N6:O6" si="6">IF(I6="","",20)</f>
        <v>20</v>
      </c>
      <c r="O6" s="2">
        <f t="shared" si="6"/>
        <v>20</v>
      </c>
      <c r="P6" s="2">
        <f>IF(K6="","",50)</f>
        <v>50</v>
      </c>
      <c r="Q6" s="2">
        <f t="shared" ref="Q6:R6" si="7">IF(L6="","",50)</f>
        <v>50</v>
      </c>
      <c r="R6" s="3">
        <f t="shared" si="7"/>
        <v>50</v>
      </c>
      <c r="T6" s="1" t="s">
        <v>65</v>
      </c>
      <c r="U6" s="2">
        <v>1.000005</v>
      </c>
      <c r="V6" s="71">
        <v>0.01</v>
      </c>
      <c r="X6" s="1">
        <v>100000</v>
      </c>
      <c r="Y6" s="19">
        <v>5.0000000000000004E-6</v>
      </c>
      <c r="Z6" s="20">
        <v>5.0000000000000002E-5</v>
      </c>
    </row>
    <row r="7" spans="1:26" x14ac:dyDescent="0.25">
      <c r="A7" s="1" t="s">
        <v>6</v>
      </c>
      <c r="B7" s="2" t="s">
        <v>43</v>
      </c>
      <c r="C7" s="2">
        <v>210</v>
      </c>
      <c r="D7" s="2">
        <v>0.1</v>
      </c>
      <c r="E7" s="2">
        <f t="shared" si="0"/>
        <v>1.5E-6</v>
      </c>
      <c r="F7" s="2" t="s">
        <v>47</v>
      </c>
      <c r="G7" s="2" t="s">
        <v>44</v>
      </c>
      <c r="H7" s="2" t="s">
        <v>62</v>
      </c>
      <c r="I7" s="2" t="str">
        <f t="shared" si="1"/>
        <v>PB200</v>
      </c>
      <c r="J7" s="2" t="str">
        <f t="shared" si="2"/>
        <v>ZB39H</v>
      </c>
      <c r="K7" s="2" t="str">
        <f t="shared" si="3"/>
        <v>ZB77M</v>
      </c>
      <c r="L7" s="2" t="s">
        <v>79</v>
      </c>
      <c r="M7" s="2" t="str">
        <f t="shared" si="4"/>
        <v>ZB90M</v>
      </c>
      <c r="N7" s="2">
        <f t="shared" ref="N7:R8" si="8">IF(I7="","",5)</f>
        <v>5</v>
      </c>
      <c r="O7" s="2">
        <f t="shared" si="8"/>
        <v>5</v>
      </c>
      <c r="P7" s="2">
        <f t="shared" si="8"/>
        <v>5</v>
      </c>
      <c r="Q7" s="2">
        <f t="shared" si="8"/>
        <v>5</v>
      </c>
      <c r="R7" s="3">
        <f t="shared" si="8"/>
        <v>5</v>
      </c>
      <c r="T7" s="1" t="s">
        <v>66</v>
      </c>
      <c r="U7" s="2">
        <v>1.999995</v>
      </c>
      <c r="V7" s="71">
        <v>1.2E-2</v>
      </c>
      <c r="X7" s="4" t="s">
        <v>42</v>
      </c>
      <c r="Y7" s="21">
        <v>1.5E-6</v>
      </c>
      <c r="Z7" s="22">
        <v>1.5E-5</v>
      </c>
    </row>
    <row r="8" spans="1:26" x14ac:dyDescent="0.25">
      <c r="A8" s="1" t="s">
        <v>7</v>
      </c>
      <c r="B8" s="2" t="s">
        <v>43</v>
      </c>
      <c r="C8" s="2">
        <v>210</v>
      </c>
      <c r="D8" s="2">
        <v>0.1</v>
      </c>
      <c r="E8" s="2">
        <f t="shared" si="0"/>
        <v>1.5E-6</v>
      </c>
      <c r="F8" s="2" t="s">
        <v>47</v>
      </c>
      <c r="G8" s="2" t="s">
        <v>44</v>
      </c>
      <c r="H8" s="2" t="s">
        <v>62</v>
      </c>
      <c r="I8" s="2" t="str">
        <f t="shared" si="1"/>
        <v>PB200</v>
      </c>
      <c r="J8" s="2" t="str">
        <f t="shared" si="2"/>
        <v>ZB39H</v>
      </c>
      <c r="K8" s="2" t="str">
        <f t="shared" si="3"/>
        <v>ZB77M</v>
      </c>
      <c r="L8" s="2" t="s">
        <v>79</v>
      </c>
      <c r="M8" s="2" t="str">
        <f t="shared" si="4"/>
        <v>ZB90M</v>
      </c>
      <c r="N8" s="2">
        <f t="shared" si="8"/>
        <v>5</v>
      </c>
      <c r="O8" s="2">
        <f t="shared" si="8"/>
        <v>5</v>
      </c>
      <c r="P8" s="2">
        <f t="shared" si="8"/>
        <v>5</v>
      </c>
      <c r="Q8" s="2">
        <f t="shared" si="8"/>
        <v>5</v>
      </c>
      <c r="R8" s="3">
        <f t="shared" si="8"/>
        <v>5</v>
      </c>
      <c r="T8" s="1" t="s">
        <v>67</v>
      </c>
      <c r="U8" s="2">
        <v>2.0000040000000001</v>
      </c>
      <c r="V8" s="71">
        <v>1.2E-2</v>
      </c>
    </row>
    <row r="9" spans="1:26" x14ac:dyDescent="0.25">
      <c r="A9" s="1" t="s">
        <v>120</v>
      </c>
      <c r="B9" s="2" t="s">
        <v>10</v>
      </c>
      <c r="C9" s="2">
        <v>220</v>
      </c>
      <c r="D9" s="2">
        <v>0.01</v>
      </c>
      <c r="E9" s="2">
        <f t="shared" si="0"/>
        <v>1.5E-6</v>
      </c>
      <c r="F9" s="2" t="s">
        <v>11</v>
      </c>
      <c r="G9" s="2" t="s">
        <v>12</v>
      </c>
      <c r="H9" s="2" t="s">
        <v>64</v>
      </c>
      <c r="I9" s="2" t="str">
        <f t="shared" ref="I9" si="9">$T$4</f>
        <v>PB200</v>
      </c>
      <c r="J9" s="2" t="s">
        <v>69</v>
      </c>
      <c r="K9" s="2" t="s">
        <v>125</v>
      </c>
      <c r="L9" s="2" t="s">
        <v>124</v>
      </c>
      <c r="M9" s="2" t="s">
        <v>123</v>
      </c>
      <c r="N9" s="2">
        <f t="shared" ref="N9:R9" si="10">IF(I9="","",1)</f>
        <v>1</v>
      </c>
      <c r="O9" s="2">
        <f t="shared" si="10"/>
        <v>1</v>
      </c>
      <c r="P9" s="2">
        <f t="shared" si="10"/>
        <v>1</v>
      </c>
      <c r="Q9" s="2">
        <f t="shared" si="10"/>
        <v>1</v>
      </c>
      <c r="R9" s="3">
        <f t="shared" si="10"/>
        <v>1</v>
      </c>
      <c r="T9" s="1" t="s">
        <v>68</v>
      </c>
      <c r="U9" s="2">
        <v>4.9999840000000004</v>
      </c>
      <c r="V9" s="71">
        <v>1.6E-2</v>
      </c>
    </row>
    <row r="10" spans="1:26" x14ac:dyDescent="0.25">
      <c r="A10" s="1" t="s">
        <v>121</v>
      </c>
      <c r="B10" s="2" t="s">
        <v>10</v>
      </c>
      <c r="C10" s="2">
        <v>220</v>
      </c>
      <c r="D10" s="2">
        <v>0.02</v>
      </c>
      <c r="E10" s="2">
        <f t="shared" si="0"/>
        <v>1.5E-6</v>
      </c>
      <c r="F10" s="2" t="s">
        <v>11</v>
      </c>
      <c r="G10" s="2" t="s">
        <v>12</v>
      </c>
      <c r="H10" s="2" t="s">
        <v>64</v>
      </c>
      <c r="I10" s="2" t="s">
        <v>126</v>
      </c>
      <c r="J10" s="2" t="s">
        <v>129</v>
      </c>
      <c r="K10" s="2" t="s">
        <v>128</v>
      </c>
      <c r="L10" s="2" t="s">
        <v>127</v>
      </c>
      <c r="M10" s="2" t="s">
        <v>133</v>
      </c>
      <c r="N10" s="2">
        <f t="shared" ref="N10:R10" si="11">IF(I10="","",2)</f>
        <v>2</v>
      </c>
      <c r="O10" s="2">
        <f t="shared" si="11"/>
        <v>2</v>
      </c>
      <c r="P10" s="2">
        <f t="shared" si="11"/>
        <v>2</v>
      </c>
      <c r="Q10" s="2">
        <f t="shared" si="11"/>
        <v>2</v>
      </c>
      <c r="R10" s="3">
        <f t="shared" si="11"/>
        <v>2</v>
      </c>
      <c r="T10" s="1" t="s">
        <v>69</v>
      </c>
      <c r="U10" s="2">
        <v>10.000024</v>
      </c>
      <c r="V10" s="71">
        <v>0.02</v>
      </c>
    </row>
    <row r="11" spans="1:26" x14ac:dyDescent="0.25">
      <c r="A11" s="1" t="s">
        <v>122</v>
      </c>
      <c r="B11" s="2" t="s">
        <v>10</v>
      </c>
      <c r="C11" s="2">
        <v>220</v>
      </c>
      <c r="D11" s="2">
        <v>0.05</v>
      </c>
      <c r="E11" s="2">
        <f t="shared" si="0"/>
        <v>1.5E-6</v>
      </c>
      <c r="F11" s="2" t="s">
        <v>11</v>
      </c>
      <c r="G11" s="2" t="s">
        <v>12</v>
      </c>
      <c r="H11" s="2" t="s">
        <v>64</v>
      </c>
      <c r="I11" s="2" t="s">
        <v>130</v>
      </c>
      <c r="J11" s="2" t="s">
        <v>134</v>
      </c>
      <c r="K11" s="2" t="s">
        <v>131</v>
      </c>
      <c r="L11" s="2" t="s">
        <v>74</v>
      </c>
      <c r="M11" s="2" t="s">
        <v>132</v>
      </c>
      <c r="N11" s="2">
        <f t="shared" ref="N11:R11" si="12">IF(I11="","",5)</f>
        <v>5</v>
      </c>
      <c r="O11" s="2">
        <f t="shared" si="12"/>
        <v>5</v>
      </c>
      <c r="P11" s="2">
        <f t="shared" si="12"/>
        <v>5</v>
      </c>
      <c r="Q11" s="2">
        <f t="shared" si="12"/>
        <v>5</v>
      </c>
      <c r="R11" s="3">
        <f t="shared" si="12"/>
        <v>5</v>
      </c>
      <c r="T11" s="63" t="s">
        <v>70</v>
      </c>
      <c r="U11" s="64">
        <v>19.999963999999999</v>
      </c>
      <c r="V11" s="68">
        <v>2.5000000000000001E-2</v>
      </c>
    </row>
    <row r="12" spans="1:26" x14ac:dyDescent="0.25">
      <c r="A12" s="1" t="s">
        <v>8</v>
      </c>
      <c r="B12" s="2" t="s">
        <v>10</v>
      </c>
      <c r="C12" s="2">
        <v>220</v>
      </c>
      <c r="D12" s="2">
        <v>1</v>
      </c>
      <c r="E12" s="2">
        <f t="shared" si="0"/>
        <v>1.5E-6</v>
      </c>
      <c r="F12" s="2" t="s">
        <v>11</v>
      </c>
      <c r="G12" s="2" t="s">
        <v>12</v>
      </c>
      <c r="H12" s="2" t="s">
        <v>64</v>
      </c>
      <c r="I12" s="2" t="str">
        <f t="shared" si="1"/>
        <v>PB200</v>
      </c>
      <c r="J12" s="2" t="str">
        <f t="shared" si="2"/>
        <v>ZB39H</v>
      </c>
      <c r="K12" s="2" t="str">
        <f t="shared" si="3"/>
        <v>ZB77M</v>
      </c>
      <c r="L12" s="2" t="s">
        <v>79</v>
      </c>
      <c r="M12" s="2" t="str">
        <f t="shared" si="4"/>
        <v>ZB90M</v>
      </c>
      <c r="N12" s="2">
        <f t="shared" ref="N12:R12" si="13">IF(I12="","",5)</f>
        <v>5</v>
      </c>
      <c r="O12" s="2">
        <f t="shared" si="13"/>
        <v>5</v>
      </c>
      <c r="P12" s="2">
        <f t="shared" si="13"/>
        <v>5</v>
      </c>
      <c r="Q12" s="2">
        <f t="shared" si="13"/>
        <v>5</v>
      </c>
      <c r="R12" s="3">
        <f t="shared" si="13"/>
        <v>5</v>
      </c>
      <c r="T12" s="63" t="s">
        <v>71</v>
      </c>
      <c r="U12" s="64">
        <v>20.000012000000002</v>
      </c>
      <c r="V12" s="68">
        <v>2.5000000000000001E-2</v>
      </c>
    </row>
    <row r="13" spans="1:26" x14ac:dyDescent="0.25">
      <c r="A13" s="1" t="s">
        <v>9</v>
      </c>
      <c r="B13" s="2" t="s">
        <v>10</v>
      </c>
      <c r="C13" s="2">
        <v>3100</v>
      </c>
      <c r="D13" s="2">
        <v>10</v>
      </c>
      <c r="E13" s="2">
        <f t="shared" si="0"/>
        <v>1.5E-6</v>
      </c>
      <c r="F13" s="2" t="s">
        <v>77</v>
      </c>
      <c r="G13" s="2" t="s">
        <v>44</v>
      </c>
      <c r="H13" s="2" t="s">
        <v>64</v>
      </c>
      <c r="I13" s="2" t="str">
        <f>I6</f>
        <v>ZB39H</v>
      </c>
      <c r="J13" s="2" t="s">
        <v>83</v>
      </c>
      <c r="K13" s="2" t="str">
        <f>T17</f>
        <v>ZB94D</v>
      </c>
      <c r="L13" s="2" t="s">
        <v>84</v>
      </c>
      <c r="M13" s="2" t="s">
        <v>85</v>
      </c>
      <c r="N13" s="2">
        <f t="shared" ref="N13:R13" si="14">IF(I13="","",100)</f>
        <v>100</v>
      </c>
      <c r="O13" s="2">
        <f t="shared" si="14"/>
        <v>100</v>
      </c>
      <c r="P13" s="2">
        <f t="shared" si="14"/>
        <v>100</v>
      </c>
      <c r="Q13" s="2">
        <f t="shared" si="14"/>
        <v>100</v>
      </c>
      <c r="R13" s="3">
        <f t="shared" si="14"/>
        <v>100</v>
      </c>
      <c r="T13" s="63" t="s">
        <v>72</v>
      </c>
      <c r="U13" s="64">
        <v>50.000031</v>
      </c>
      <c r="V13" s="68">
        <v>0.03</v>
      </c>
    </row>
    <row r="14" spans="1:26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  <c r="T14" s="63" t="s">
        <v>73</v>
      </c>
      <c r="U14" s="64">
        <v>100.000046</v>
      </c>
      <c r="V14" s="68">
        <v>0.05</v>
      </c>
    </row>
    <row r="15" spans="1:26" x14ac:dyDescent="0.25">
      <c r="I15" s="65"/>
      <c r="J15" s="65"/>
      <c r="K15" s="65"/>
      <c r="L15" s="65"/>
      <c r="M15" s="65"/>
      <c r="T15" s="63" t="s">
        <v>74</v>
      </c>
      <c r="U15" s="64">
        <v>200.00004999999999</v>
      </c>
      <c r="V15" s="68">
        <v>0.1</v>
      </c>
    </row>
    <row r="16" spans="1:26" x14ac:dyDescent="0.25">
      <c r="T16" s="63" t="s">
        <v>75</v>
      </c>
      <c r="U16" s="64">
        <v>200.00005999999999</v>
      </c>
      <c r="V16" s="68">
        <v>0.1</v>
      </c>
    </row>
    <row r="17" spans="20:22" x14ac:dyDescent="0.25">
      <c r="T17" s="63" t="s">
        <v>76</v>
      </c>
      <c r="U17" s="64">
        <v>500.00033999999999</v>
      </c>
      <c r="V17" s="68">
        <v>0.25</v>
      </c>
    </row>
    <row r="18" spans="20:22" x14ac:dyDescent="0.25">
      <c r="T18" s="66" t="s">
        <v>78</v>
      </c>
      <c r="U18" s="67"/>
      <c r="V18" s="72"/>
    </row>
    <row r="19" spans="20:22" x14ac:dyDescent="0.25">
      <c r="T19" s="63" t="str">
        <f>K9</f>
        <v>ZB43N/ZB56G</v>
      </c>
      <c r="U19" s="154">
        <f>U11+U10</f>
        <v>29.999987999999998</v>
      </c>
      <c r="V19" s="155">
        <f>2*SUM(V10/2,V11/2)</f>
        <v>4.4999999999999998E-2</v>
      </c>
    </row>
    <row r="20" spans="20:22" x14ac:dyDescent="0.25">
      <c r="T20" s="63" t="str">
        <f>L9</f>
        <v>ZB43N/ZB44N</v>
      </c>
      <c r="U20" s="154">
        <f>U11+U12</f>
        <v>39.999976000000004</v>
      </c>
      <c r="V20" s="155">
        <f>2*SUM(V12/2,V11/2)</f>
        <v>0.05</v>
      </c>
    </row>
    <row r="21" spans="20:22" x14ac:dyDescent="0.25">
      <c r="T21" s="63" t="str">
        <f>M9</f>
        <v>ZB39H/ZB92D</v>
      </c>
      <c r="U21" s="154">
        <f>U13+U9</f>
        <v>55.000014999999998</v>
      </c>
      <c r="V21" s="155">
        <f>2*SUM(V9/2,V13/2)</f>
        <v>4.5999999999999999E-2</v>
      </c>
    </row>
    <row r="22" spans="20:22" x14ac:dyDescent="0.25">
      <c r="T22" s="63" t="str">
        <f>I10</f>
        <v>ZB39H/ZB56G</v>
      </c>
      <c r="U22" s="154">
        <f>U13+U10</f>
        <v>60.000055000000003</v>
      </c>
      <c r="V22" s="155">
        <f>2*SUM(V10/2,V13/2)</f>
        <v>0.05</v>
      </c>
    </row>
    <row r="23" spans="20:22" x14ac:dyDescent="0.25">
      <c r="T23" s="63" t="str">
        <f>J10</f>
        <v>ZB39H/ZB43N/ZB92D</v>
      </c>
      <c r="U23" s="154">
        <f>U13+U11+U9</f>
        <v>74.999978999999996</v>
      </c>
      <c r="V23" s="155">
        <f>2*SUM(V11/2,V13/2,V9/2)</f>
        <v>7.1000000000000008E-2</v>
      </c>
    </row>
    <row r="24" spans="20:22" x14ac:dyDescent="0.25">
      <c r="T24" s="63" t="str">
        <f>K10</f>
        <v>ZB39H/ZB43N/ZB44N</v>
      </c>
      <c r="U24" s="154">
        <f>U13+U12+U11</f>
        <v>90.000007000000011</v>
      </c>
      <c r="V24" s="155">
        <f>2*SUM(V13,V12/2/2,V11/2)</f>
        <v>9.7500000000000003E-2</v>
      </c>
    </row>
    <row r="25" spans="20:22" x14ac:dyDescent="0.25">
      <c r="T25" s="63" t="str">
        <f>L10</f>
        <v>ZB77M/ZB92D</v>
      </c>
      <c r="U25" s="154">
        <f>U14+U9</f>
        <v>105.00003</v>
      </c>
      <c r="V25" s="155">
        <f>2*SUM(V9/2,V14/2)</f>
        <v>6.6000000000000003E-2</v>
      </c>
    </row>
    <row r="26" spans="20:22" x14ac:dyDescent="0.25">
      <c r="T26" s="63" t="str">
        <f>M10</f>
        <v>ZB77M/ZB56G/ZB92D</v>
      </c>
      <c r="U26" s="154">
        <f>U14+U10+U9</f>
        <v>115.00005399999999</v>
      </c>
      <c r="V26" s="155">
        <f>2*SUM(V10/2,V14/2,V9/2)</f>
        <v>8.6000000000000007E-2</v>
      </c>
    </row>
    <row r="27" spans="20:22" x14ac:dyDescent="0.25">
      <c r="T27" s="63" t="str">
        <f>I11</f>
        <v>ZB77M/ZB44N</v>
      </c>
      <c r="U27" s="154">
        <f>U14+U12</f>
        <v>120.000058</v>
      </c>
      <c r="V27" s="155">
        <f>2*SUM(V12/2,V14/2)</f>
        <v>7.5000000000000011E-2</v>
      </c>
    </row>
    <row r="28" spans="20:22" x14ac:dyDescent="0.25">
      <c r="T28" s="63" t="str">
        <f>J11</f>
        <v>ZB77M/ZB43N/ZB44N</v>
      </c>
      <c r="U28" s="154">
        <f>U14+U12+U11</f>
        <v>140.000022</v>
      </c>
      <c r="V28" s="155">
        <f>2*SUM(V12/2,V11/2,V14/2)</f>
        <v>0.1</v>
      </c>
    </row>
    <row r="29" spans="20:22" x14ac:dyDescent="0.25">
      <c r="T29" s="63" t="str">
        <f>K11</f>
        <v>ZB77M/ZB39H/ZB56G</v>
      </c>
      <c r="U29" s="154">
        <f>U14+U13+U10</f>
        <v>160.000101</v>
      </c>
      <c r="V29" s="155">
        <f>2*SUM(V11/2,V14/2,V13/2)</f>
        <v>0.10500000000000001</v>
      </c>
    </row>
    <row r="30" spans="20:22" x14ac:dyDescent="0.25">
      <c r="T30" s="63" t="str">
        <f>M11</f>
        <v>ZB91M/ZB56G/ZB92D</v>
      </c>
      <c r="U30" s="154">
        <f>U16+U10+U9</f>
        <v>215.000068</v>
      </c>
      <c r="V30" s="155">
        <f>2*SUM(V16/2,V10/2,V9/2)</f>
        <v>0.13600000000000001</v>
      </c>
    </row>
    <row r="31" spans="20:22" x14ac:dyDescent="0.25">
      <c r="T31" s="63" t="str">
        <f>L5</f>
        <v>ZB77M/ZB39H</v>
      </c>
      <c r="U31" s="64">
        <f>SUM(U13,U14)</f>
        <v>150.000077</v>
      </c>
      <c r="V31" s="68">
        <f t="shared" ref="V31" si="15">2*SUM(V13/2,V14/2)</f>
        <v>0.08</v>
      </c>
    </row>
    <row r="32" spans="20:22" x14ac:dyDescent="0.25">
      <c r="T32" s="1" t="str">
        <f>K6</f>
        <v>ZB90M/ZB91M</v>
      </c>
      <c r="U32" s="2">
        <f>SUM(U15,U16)</f>
        <v>400.00010999999995</v>
      </c>
      <c r="V32" s="71">
        <f>2*SUM(V15/2,V16/2)</f>
        <v>0.2</v>
      </c>
    </row>
    <row r="33" spans="20:22" x14ac:dyDescent="0.25">
      <c r="T33" s="1" t="str">
        <f>L6</f>
        <v>ZB94D/ZB77M</v>
      </c>
      <c r="U33" s="2">
        <f>SUM(U17,U14)</f>
        <v>600.00038599999993</v>
      </c>
      <c r="V33" s="71">
        <f>2*SUM(V17/2,V14/2)</f>
        <v>0.3</v>
      </c>
    </row>
    <row r="34" spans="20:22" x14ac:dyDescent="0.25">
      <c r="T34" s="1" t="str">
        <f>M6</f>
        <v>ZB94D/ZB90M/ZB77M</v>
      </c>
      <c r="U34" s="2">
        <f t="shared" ref="U34" si="16">SUM(U17,U15,U14)</f>
        <v>800.00043599999992</v>
      </c>
      <c r="V34" s="71">
        <f>2*SUM(V17/2,V15/2,V14/2)</f>
        <v>0.39999999999999997</v>
      </c>
    </row>
    <row r="35" spans="20:22" x14ac:dyDescent="0.25">
      <c r="T35" s="1" t="s">
        <v>83</v>
      </c>
      <c r="U35" s="2">
        <f>SUM(U15,U13)</f>
        <v>250.00008099999999</v>
      </c>
      <c r="V35" s="71">
        <f>2*SUM(V15/2,V13/2)</f>
        <v>0.13</v>
      </c>
    </row>
    <row r="36" spans="20:22" x14ac:dyDescent="0.25">
      <c r="T36" s="1" t="s">
        <v>84</v>
      </c>
      <c r="U36" s="2">
        <f>SUM(U17,U15,U13)</f>
        <v>750.00042099999996</v>
      </c>
      <c r="V36" s="71">
        <f>2*SUM(V17/2,V15/2,V13/2)</f>
        <v>0.38</v>
      </c>
    </row>
    <row r="37" spans="20:22" x14ac:dyDescent="0.25">
      <c r="T37" s="4" t="s">
        <v>85</v>
      </c>
      <c r="U37" s="5">
        <f>SUM(U17,U16,U15)</f>
        <v>900.00045</v>
      </c>
      <c r="V37" s="73">
        <f>2*SUM(V17/2,V16/2,V15/2)</f>
        <v>0.44999999999999996</v>
      </c>
    </row>
  </sheetData>
  <sheetProtection algorithmName="SHA-512" hashValue="DAgKoLBPFdfstr4KOdY7MSD7k/wczPONDqhgAcP6D2bsn41ckBbA6KwnOMR8UKyeBTworpNlZ3mGaGDKps0Maw==" saltValue="7TtaSlBw9z/MNyLMxivygA==" spinCount="100000" sheet="1" objects="1" scenarios="1"/>
  <mergeCells count="13">
    <mergeCell ref="T2:V2"/>
    <mergeCell ref="X2:Z2"/>
    <mergeCell ref="I3:M3"/>
    <mergeCell ref="N3:R3"/>
    <mergeCell ref="A2:R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27:H31 A1:XFD2 A3 I3:XFD3 A32:R1048576 P27:R31 S4:XFD18 A5:R26 S19:S1048576 W19:XFD1048576 T37:V1048576 T19:V31">
    <cfRule type="containsErrors" dxfId="2" priority="4">
      <formula>ISERROR(A1)</formula>
    </cfRule>
  </conditionalFormatting>
  <conditionalFormatting sqref="T32:V36">
    <cfRule type="containsErrors" dxfId="1" priority="3">
      <formula>ISERROR(T32)</formula>
    </cfRule>
  </conditionalFormatting>
  <conditionalFormatting sqref="B3:H3">
    <cfRule type="containsErrors" dxfId="0" priority="1">
      <formula>ISERROR(B3)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Résultats d'étalonnage</vt:lpstr>
      <vt:lpstr>Liste</vt:lpstr>
      <vt:lpstr>Balances</vt:lpstr>
      <vt:lpstr>Etalons</vt:lpstr>
      <vt:lpstr>'Résultats d''étalonnage'!Zone_d_impression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2018-04-16T06:55:06Z</dcterms:modified>
</cp:coreProperties>
</file>