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15330" windowHeight="4470" activeTab="3"/>
  </bookViews>
  <sheets>
    <sheet name="IRA" sheetId="1" r:id="rId1"/>
    <sheet name="Liquides" sheetId="2" r:id="rId2"/>
    <sheet name="Gaz" sheetId="3" r:id="rId3"/>
    <sheet name="Vapeur" sheetId="4" r:id="rId4"/>
    <sheet name="Critères" sheetId="5" r:id="rId5"/>
    <sheet name="Courbe satur. vapeur eau" sheetId="6" r:id="rId6"/>
    <sheet name="Constantes Gaz" sheetId="7" r:id="rId7"/>
  </sheets>
  <externalReferences>
    <externalReference r:id="rId10"/>
  </externalReferences>
  <definedNames>
    <definedName name="cavit">'Liquides'!$G$29</definedName>
    <definedName name="CoefDébCavit">'Liquides'!$F$17</definedName>
    <definedName name="Ctuyau_s">#REF!</definedName>
    <definedName name="débit">'Liquides'!$C$4</definedName>
    <definedName name="débitVol_s">#REF!</definedName>
    <definedName name="densité">'Liquides'!$C$5</definedName>
    <definedName name="dGaz">'Gaz'!$G$4</definedName>
    <definedName name="dgazAval">'[1]Gaz'!$G$65</definedName>
    <definedName name="diamExt_s">#REF!</definedName>
    <definedName name="DLF_s">#REF!</definedName>
    <definedName name="DN">'Liquides'!$H$75</definedName>
    <definedName name="DNGaz">'Gaz'!$I$50</definedName>
    <definedName name="DNsat">'Vapeur'!$E$27</definedName>
    <definedName name="DNsur">'Vapeur'!$J$27</definedName>
    <definedName name="dp_s">#REF!</definedName>
    <definedName name="dpc_s">#REF!</definedName>
    <definedName name="dpCritique">'Liquides'!$D$66</definedName>
    <definedName name="dpdc">'Liquides'!$G$20</definedName>
    <definedName name="dpv">'Liquides'!$F$23</definedName>
    <definedName name="dpvGaz">'Gaz'!$G$28</definedName>
    <definedName name="Epaisseur">#REF!</definedName>
    <definedName name="FL">'Liquides'!$H$37</definedName>
    <definedName name="Fr">'Liquides'!$K$66</definedName>
    <definedName name="freq_anneau">#REF!</definedName>
    <definedName name="gamma">'Gaz'!$G$5</definedName>
    <definedName name="gammaV">'Vapeur'!$G$5</definedName>
    <definedName name="initliq">"bouton_init"</definedName>
    <definedName name="KmV">'Vapeur'!$H$4</definedName>
    <definedName name="long_s">#REF!</definedName>
    <definedName name="mach">'Gaz'!$D$50</definedName>
    <definedName name="massVol_aval_s">#REF!</definedName>
    <definedName name="massVol_s">'[1]Bruit hydro'!$C$16</definedName>
    <definedName name="massVolTuyau">#REF!</definedName>
    <definedName name="MVVSat">'Vapeur'!$C$13</definedName>
    <definedName name="MVVSatSur">'Vapeur'!$J$14</definedName>
    <definedName name="MVVSur">'Vapeur'!$J$16</definedName>
    <definedName name="NWSi">#REF!</definedName>
    <definedName name="P1V">'Vapeur'!$C$4</definedName>
    <definedName name="P2V">'Vapeur'!$C$5</definedName>
    <definedName name="Pgaz1">'Gaz'!$C$4</definedName>
    <definedName name="Pgaz2">'Gaz'!$C$5</definedName>
    <definedName name="press1">'Liquides'!$G$4</definedName>
    <definedName name="press2">'Liquides'!$G$5</definedName>
    <definedName name="pressCrit">'Liquides'!$H$43</definedName>
    <definedName name="pressSC">'Liquides'!$F$54</definedName>
    <definedName name="pressVap">'Liquides'!$G$6</definedName>
    <definedName name="QmV">'Vapeur'!$G$6</definedName>
    <definedName name="Qn">'Gaz'!$I$37</definedName>
    <definedName name="QnGaz">'Gaz'!$E$16</definedName>
    <definedName name="QnSat">'Gaz'!$C$41</definedName>
    <definedName name="Qs">'Gaz'!$H$15</definedName>
    <definedName name="rend_s">#REF!</definedName>
    <definedName name="tauxY">'Gaz'!$J$43</definedName>
    <definedName name="TempAval">'[1]Gaz'!$E$63</definedName>
    <definedName name="tempGaz">'Gaz'!$C$6</definedName>
    <definedName name="TempVSat">'Vapeur'!$C$11</definedName>
    <definedName name="TempVSur">'Vapeur'!$H$11</definedName>
    <definedName name="Tsat">'Vapeur'!$J$13</definedName>
    <definedName name="vitesseSon">'Gaz'!$I$61</definedName>
    <definedName name="vitesseSon_liq">#REF!</definedName>
    <definedName name="vmaxi">'Liquides'!$D$75</definedName>
    <definedName name="VmaxiSouhait">'Gaz'!$D$58</definedName>
    <definedName name="Xc">'Gaz'!$J$42</definedName>
    <definedName name="xf">#REF!</definedName>
    <definedName name="xfz">#REF!</definedName>
    <definedName name="Xt">'Gaz'!$F$23</definedName>
    <definedName name="Zgaz">'Gaz'!$G$6</definedName>
  </definedNames>
  <calcPr fullCalcOnLoad="1"/>
</workbook>
</file>

<file path=xl/comments2.xml><?xml version="1.0" encoding="utf-8"?>
<comments xmlns="http://schemas.openxmlformats.org/spreadsheetml/2006/main">
  <authors>
    <author>sigonnez.p</author>
  </authors>
  <commentList>
    <comment ref="C75" authorId="0">
      <text>
        <r>
          <rPr>
            <b/>
            <sz val="10"/>
            <rFont val="Tahoma"/>
            <family val="2"/>
          </rPr>
          <t>à l'entrée de la vanne</t>
        </r>
      </text>
    </comment>
    <comment ref="C37" authorId="0">
      <text>
        <r>
          <rPr>
            <b/>
            <sz val="10"/>
            <rFont val="Tahoma"/>
            <family val="2"/>
          </rPr>
          <t>calculé à partir de la valeur de Kc entrée.</t>
        </r>
      </text>
    </comment>
  </commentList>
</comments>
</file>

<file path=xl/comments3.xml><?xml version="1.0" encoding="utf-8"?>
<comments xmlns="http://schemas.openxmlformats.org/spreadsheetml/2006/main">
  <authors>
    <author>SIGONNEZ</author>
    <author>SIGONNEZ.P</author>
    <author>sigonnez.p</author>
  </authors>
  <commentList>
    <comment ref="G4" authorId="0">
      <text>
        <r>
          <rPr>
            <b/>
            <sz val="8"/>
            <rFont val="Tahoma"/>
            <family val="0"/>
          </rPr>
          <t>Densité du gaz
Air = 1
Densité = masse volumique / 1,293</t>
        </r>
      </text>
    </comment>
    <comment ref="M34" authorId="1">
      <text>
        <r>
          <rPr>
            <b/>
            <sz val="10"/>
            <rFont val="Tahoma"/>
            <family val="2"/>
          </rPr>
          <t>Uniquement en liquide et DP spécifiée par l'acheteur (procédure d'essai n°2)</t>
        </r>
      </text>
    </comment>
    <comment ref="R36" authorId="1">
      <text>
        <r>
          <rPr>
            <b/>
            <sz val="10"/>
            <rFont val="Tahoma"/>
            <family val="2"/>
          </rPr>
          <t>Avec tube de 6 mm ext., 1 mm épaisseur, immergé entre 5 et 10 mm de profondeur.</t>
        </r>
      </text>
    </comment>
    <comment ref="J42" authorId="1">
      <text>
        <r>
          <rPr>
            <b/>
            <sz val="10"/>
            <rFont val="Tahoma"/>
            <family val="2"/>
          </rPr>
          <t>Xc = Fgamma * Xt
= limite de X pour le gaz passant dans la vanne.</t>
        </r>
      </text>
    </comment>
    <comment ref="J41" authorId="1">
      <text>
        <r>
          <rPr>
            <b/>
            <sz val="10"/>
            <rFont val="Tahoma"/>
            <family val="2"/>
          </rPr>
          <t xml:space="preserve">X = DPv / P1 </t>
        </r>
      </text>
    </comment>
    <comment ref="G5" authorId="1">
      <text>
        <r>
          <rPr>
            <b/>
            <sz val="10"/>
            <rFont val="Tahoma"/>
            <family val="2"/>
          </rPr>
          <t>Gamma air = 1,4</t>
        </r>
      </text>
    </comment>
    <comment ref="J43" authorId="1">
      <text>
        <r>
          <rPr>
            <b/>
            <sz val="8"/>
            <rFont val="Tahoma"/>
            <family val="0"/>
          </rPr>
          <t>Y est compris entre 
0,667 (quand X = Xc)
et 1 (en théorie quand DPv = 0)</t>
        </r>
      </text>
    </comment>
    <comment ref="J3" authorId="2">
      <text>
        <r>
          <rPr>
            <b/>
            <sz val="10"/>
            <rFont val="Tahoma"/>
            <family val="2"/>
          </rPr>
          <t>à 0°C et P atm.</t>
        </r>
      </text>
    </comment>
  </commentList>
</comments>
</file>

<file path=xl/comments4.xml><?xml version="1.0" encoding="utf-8"?>
<comments xmlns="http://schemas.openxmlformats.org/spreadsheetml/2006/main">
  <authors>
    <author>sigonnez.p</author>
  </authors>
  <commentList>
    <comment ref="D14" authorId="0">
      <text>
        <r>
          <rPr>
            <b/>
            <sz val="10"/>
            <rFont val="Tahoma"/>
            <family val="2"/>
          </rPr>
          <t>valeur approximative</t>
        </r>
      </text>
    </comment>
  </commentList>
</comments>
</file>

<file path=xl/comments5.xml><?xml version="1.0" encoding="utf-8"?>
<comments xmlns="http://schemas.openxmlformats.org/spreadsheetml/2006/main">
  <authors>
    <author>sigonnez.p</author>
  </authors>
  <commentList>
    <comment ref="A26" authorId="0">
      <text>
        <r>
          <rPr>
            <b/>
            <sz val="8"/>
            <rFont val="Tahoma"/>
            <family val="0"/>
          </rPr>
          <t>Fluide tend à ouvrir ou fluide tend à fermer</t>
        </r>
      </text>
    </comment>
    <comment ref="A32" authorId="0">
      <text>
        <r>
          <rPr>
            <b/>
            <sz val="8"/>
            <rFont val="Tahoma"/>
            <family val="0"/>
          </rPr>
          <t>Le facteur Fl doit être calculé pour différents débits : en général au débit mini, à 25, 50, 75 et 100% du débit maxi.
Préciser ici le Fl mini suivant l'ouverture de la vanne.</t>
        </r>
      </text>
    </comment>
  </commentList>
</comments>
</file>

<file path=xl/comments7.xml><?xml version="1.0" encoding="utf-8"?>
<comments xmlns="http://schemas.openxmlformats.org/spreadsheetml/2006/main">
  <authors>
    <author>sigonnez.p</author>
  </authors>
  <commentList>
    <comment ref="A44" authorId="0">
      <text>
        <r>
          <rPr>
            <b/>
            <sz val="8"/>
            <rFont val="Tahoma"/>
            <family val="0"/>
          </rPr>
          <t>ou Oxyde de carbone</t>
        </r>
      </text>
    </comment>
    <comment ref="A49" authorId="0">
      <text>
        <r>
          <rPr>
            <b/>
            <sz val="8"/>
            <rFont val="Tahoma"/>
            <family val="0"/>
          </rPr>
          <t>ou Monoxyde de carbone</t>
        </r>
      </text>
    </comment>
  </commentList>
</comments>
</file>

<file path=xl/sharedStrings.xml><?xml version="1.0" encoding="utf-8"?>
<sst xmlns="http://schemas.openxmlformats.org/spreadsheetml/2006/main" count="436" uniqueCount="329">
  <si>
    <t>Calculs pour les gaz</t>
  </si>
  <si>
    <t>Pression de vaporisation:</t>
  </si>
  <si>
    <t>DP vanne =</t>
  </si>
  <si>
    <t>Débit:</t>
  </si>
  <si>
    <t>Densité:</t>
  </si>
  <si>
    <t>OUI</t>
  </si>
  <si>
    <t>NON</t>
  </si>
  <si>
    <t>Au minimum Km = Kc</t>
  </si>
  <si>
    <t>Au minimum Cf = Rac(Kc)</t>
  </si>
  <si>
    <t>Au minimum Fl = Rac(Kc)</t>
  </si>
  <si>
    <t xml:space="preserve">Calcul du coef. mini de </t>
  </si>
  <si>
    <t>bar</t>
  </si>
  <si>
    <t>m3/h</t>
  </si>
  <si>
    <t>Pression amont (P1):</t>
  </si>
  <si>
    <t>Pression aval (P2):</t>
  </si>
  <si>
    <t>Pas de cavitation importante</t>
  </si>
  <si>
    <t>Cavitation importante: risque de détérioration</t>
  </si>
  <si>
    <t>VAPORISATION</t>
  </si>
  <si>
    <t xml:space="preserve">NON  </t>
  </si>
  <si>
    <t>début de cavitation (Kc)</t>
  </si>
  <si>
    <t>correspondant à la DPvanne (DPC = DPv)</t>
  </si>
  <si>
    <t>NB: Il faut une vanne avec ce Kc mini.</t>
  </si>
  <si>
    <t>Kc =</t>
  </si>
  <si>
    <t>ATTENTION:</t>
  </si>
  <si>
    <t>Début de cavitation</t>
  </si>
  <si>
    <t>Pv =</t>
  </si>
  <si>
    <t xml:space="preserve"> 0,5 * P 1 =</t>
  </si>
  <si>
    <t>P critique =</t>
  </si>
  <si>
    <t xml:space="preserve">   NON</t>
  </si>
  <si>
    <t>Rappels :</t>
  </si>
  <si>
    <t>DPdc =</t>
  </si>
  <si>
    <t>Calcul DP vanne début cavitation =</t>
  </si>
  <si>
    <t>DP vanne Cavitation totale (DPc) =</t>
  </si>
  <si>
    <t>Rappel :</t>
  </si>
  <si>
    <t xml:space="preserve">DPv = </t>
  </si>
  <si>
    <r>
      <t>DP critique (</t>
    </r>
    <r>
      <rPr>
        <sz val="10"/>
        <color indexed="10"/>
        <rFont val="Arial"/>
        <family val="2"/>
      </rPr>
      <t>DPc</t>
    </r>
    <r>
      <rPr>
        <sz val="10"/>
        <rFont val="Arial"/>
        <family val="0"/>
      </rPr>
      <t>) =</t>
    </r>
  </si>
  <si>
    <t>Pour le calcul du CV, indiquer la DP critique :</t>
  </si>
  <si>
    <t>(Attention: pas de Copier-Coller !)</t>
  </si>
  <si>
    <t>Cv en cavitation :</t>
  </si>
  <si>
    <t>Cv :</t>
  </si>
  <si>
    <t>Vitesse maxi souhaitée du fluide :</t>
  </si>
  <si>
    <t>m/s</t>
  </si>
  <si>
    <t>mm</t>
  </si>
  <si>
    <t>DN =</t>
  </si>
  <si>
    <t>Vitesse du fluide dans la vanne =</t>
  </si>
  <si>
    <r>
      <t xml:space="preserve">Entrer vos paramètres dans les parties </t>
    </r>
    <r>
      <rPr>
        <b/>
        <sz val="12"/>
        <color indexed="52"/>
        <rFont val="Arial"/>
        <family val="2"/>
      </rPr>
      <t>orangées</t>
    </r>
    <r>
      <rPr>
        <b/>
        <sz val="12"/>
        <rFont val="Arial"/>
        <family val="2"/>
      </rPr>
      <t xml:space="preserve"> :</t>
    </r>
  </si>
  <si>
    <t>Calcul du CV idem calcul Cv en cavitation</t>
  </si>
  <si>
    <t>Calcul du DN mini : utiliser formule pour gaz</t>
  </si>
  <si>
    <t>kc mini =</t>
  </si>
  <si>
    <t>Calcul DP critique =</t>
  </si>
  <si>
    <r>
      <t>Rapport cP/cV (</t>
    </r>
    <r>
      <rPr>
        <sz val="10"/>
        <rFont val="Symbol"/>
        <family val="1"/>
      </rPr>
      <t>g</t>
    </r>
    <r>
      <rPr>
        <sz val="10"/>
        <rFont val="Arial"/>
        <family val="0"/>
      </rPr>
      <t>):</t>
    </r>
  </si>
  <si>
    <t>Calcul DP vanne =</t>
  </si>
  <si>
    <t>Saturation du débit</t>
  </si>
  <si>
    <t>Facteur de compressib. (Z):</t>
  </si>
  <si>
    <t>CV =</t>
  </si>
  <si>
    <t>Température :</t>
  </si>
  <si>
    <t>°C</t>
  </si>
  <si>
    <t>Nm3/h</t>
  </si>
  <si>
    <t>Calcul de Qn :</t>
  </si>
  <si>
    <t>Indiquer le débit aux conditions de service (Qs):</t>
  </si>
  <si>
    <t>Qs =</t>
  </si>
  <si>
    <t>Qn =</t>
  </si>
  <si>
    <t>bar abs.</t>
  </si>
  <si>
    <t>Débit aux conditions normales =</t>
  </si>
  <si>
    <t>Ecoulement critique :</t>
  </si>
  <si>
    <t>Calcul du Cv :</t>
  </si>
  <si>
    <r>
      <t xml:space="preserve">Indiquer </t>
    </r>
    <r>
      <rPr>
        <b/>
        <sz val="10"/>
        <rFont val="Arial"/>
        <family val="2"/>
      </rPr>
      <t>Qn</t>
    </r>
    <r>
      <rPr>
        <sz val="10"/>
        <rFont val="Arial"/>
        <family val="2"/>
      </rPr>
      <t xml:space="preserve"> ci dessous :</t>
    </r>
  </si>
  <si>
    <t>Autres calculs :</t>
  </si>
  <si>
    <r>
      <t xml:space="preserve">Taux de détente critique </t>
    </r>
    <r>
      <rPr>
        <b/>
        <sz val="10"/>
        <color indexed="10"/>
        <rFont val="Arial"/>
        <family val="2"/>
      </rPr>
      <t>Xc</t>
    </r>
    <r>
      <rPr>
        <sz val="10"/>
        <color indexed="10"/>
        <rFont val="Arial"/>
        <family val="2"/>
      </rPr>
      <t xml:space="preserve"> =</t>
    </r>
  </si>
  <si>
    <r>
      <t xml:space="preserve">Taux d'expansion </t>
    </r>
    <r>
      <rPr>
        <b/>
        <sz val="10"/>
        <color indexed="17"/>
        <rFont val="Arial"/>
        <family val="2"/>
      </rPr>
      <t>Y</t>
    </r>
    <r>
      <rPr>
        <sz val="10"/>
        <color indexed="17"/>
        <rFont val="Arial"/>
        <family val="2"/>
      </rPr>
      <t xml:space="preserve"> =</t>
    </r>
  </si>
  <si>
    <r>
      <t xml:space="preserve">Taux de détente </t>
    </r>
    <r>
      <rPr>
        <b/>
        <sz val="10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=</t>
    </r>
  </si>
  <si>
    <t>Vitesse du fluide en sortie vanne =</t>
  </si>
  <si>
    <t>(Limite la vitesse en sortie de vanne)</t>
  </si>
  <si>
    <t>Mach</t>
  </si>
  <si>
    <t>NB.: Valeur maxi conseillée = 0,3 Mach</t>
  </si>
  <si>
    <t>Nombre de Mach maxi souhaité :</t>
  </si>
  <si>
    <t>NB.: Nombre de Mach :</t>
  </si>
  <si>
    <t>Vitesse en sortie de vanne =</t>
  </si>
  <si>
    <r>
      <t>F</t>
    </r>
    <r>
      <rPr>
        <b/>
        <sz val="10"/>
        <rFont val="Arial"/>
        <family val="2"/>
      </rPr>
      <t xml:space="preserve"> mini =</t>
    </r>
  </si>
  <si>
    <t>Kv :</t>
  </si>
  <si>
    <t xml:space="preserve">Cv = </t>
  </si>
  <si>
    <t xml:space="preserve">Kv = </t>
  </si>
  <si>
    <t>Calculs pour la vapeur d'eau</t>
  </si>
  <si>
    <t>kg/m3</t>
  </si>
  <si>
    <t>Débit massique :</t>
  </si>
  <si>
    <t>( 1,14 pour la vapeur saturée, 1,32 si surchauffée  )</t>
  </si>
  <si>
    <t>kg/h</t>
  </si>
  <si>
    <t>Vapeur saturée</t>
  </si>
  <si>
    <t>Vapeur surchaufée</t>
  </si>
  <si>
    <r>
      <t xml:space="preserve">NB.: Entre 6 et 100 bar abs. 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= P abs. / 2</t>
    </r>
  </si>
  <si>
    <r>
      <t xml:space="preserve">Masse volumique (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) à la température de saturation :</t>
    </r>
  </si>
  <si>
    <t>Température de surchauffe :</t>
  </si>
  <si>
    <r>
      <t xml:space="preserve">Masse volumique (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) :</t>
    </r>
  </si>
  <si>
    <r>
      <t xml:space="preserve">Masse volumique (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) à la température de surchauffe :</t>
    </r>
  </si>
  <si>
    <t>Cv =</t>
  </si>
  <si>
    <t>Coef. récup. de pression Km :</t>
  </si>
  <si>
    <t>Température de saturation à la pression amont P1 :</t>
  </si>
  <si>
    <t>DN minimal :</t>
  </si>
  <si>
    <t>Institut de Régulation et Automation</t>
  </si>
  <si>
    <t>Chemin des Moines</t>
  </si>
  <si>
    <t>13200 ARLES</t>
  </si>
  <si>
    <t>Tél.: 04 90 99 47 00</t>
  </si>
  <si>
    <t>Fax: 04 90 93 03 15</t>
  </si>
  <si>
    <t>www.poleira.com</t>
  </si>
  <si>
    <t>psigonnez.ira@arles.cci.fr</t>
  </si>
  <si>
    <t xml:space="preserve"> ° C                 =</t>
  </si>
  <si>
    <t>NB.: vitesse du son dans le gaz à</t>
  </si>
  <si>
    <t>Avertissement : ce logiciel est gratuit.</t>
  </si>
  <si>
    <t>FL =</t>
  </si>
  <si>
    <t>DP vanne Cavitation totale (DPc) par la</t>
  </si>
  <si>
    <t>formule simplifiée=</t>
  </si>
  <si>
    <t>Pression à la section contractée =</t>
  </si>
  <si>
    <t>Cv choisi :</t>
  </si>
  <si>
    <t>Régime turbulent (Fr=1)</t>
  </si>
  <si>
    <t xml:space="preserve">Fr = </t>
  </si>
  <si>
    <t>Régime laminaire (Fr &lt; à 1)</t>
  </si>
  <si>
    <t>% en linéaire</t>
  </si>
  <si>
    <t>Ouverture :</t>
  </si>
  <si>
    <t>Réduction de la section de passage :</t>
  </si>
  <si>
    <t>%    (100 si pas de réduction)</t>
  </si>
  <si>
    <t xml:space="preserve">Vous pouvez le dupliquer à condition </t>
  </si>
  <si>
    <t xml:space="preserve">de ne pas modifier les formules </t>
  </si>
  <si>
    <t xml:space="preserve">existantes (sauf avis de l'auteur) et </t>
  </si>
  <si>
    <t>de conserver cette page d'information.</t>
  </si>
  <si>
    <t>contact@poleira.com</t>
  </si>
  <si>
    <t>e-mail :</t>
  </si>
  <si>
    <t xml:space="preserve"> Patrick SIGONNEZ</t>
  </si>
  <si>
    <t>Auteur :</t>
  </si>
  <si>
    <t>Xt mini =</t>
  </si>
  <si>
    <t>(Limite de X)</t>
  </si>
  <si>
    <t xml:space="preserve">Qm nom. </t>
  </si>
  <si>
    <t>Qv nom. :</t>
  </si>
  <si>
    <t>Classe :</t>
  </si>
  <si>
    <t>Fuite maxi :</t>
  </si>
  <si>
    <t>II</t>
  </si>
  <si>
    <t>III</t>
  </si>
  <si>
    <t>IV</t>
  </si>
  <si>
    <t>IV - S1</t>
  </si>
  <si>
    <t>V</t>
  </si>
  <si>
    <t>xxxxx</t>
  </si>
  <si>
    <t>voir tableau</t>
  </si>
  <si>
    <t>litre / min</t>
  </si>
  <si>
    <t>m3/h à 3 bar et 20 °C</t>
  </si>
  <si>
    <t>Diam. Siège</t>
  </si>
  <si>
    <t>Taux de fuite</t>
  </si>
  <si>
    <t>ml/min</t>
  </si>
  <si>
    <t>Fuite</t>
  </si>
  <si>
    <t xml:space="preserve"> -----------------------------------&gt;</t>
  </si>
  <si>
    <t xml:space="preserve"> -</t>
  </si>
  <si>
    <t>nbre bulles/min</t>
  </si>
  <si>
    <t>Calcul du coef. Xt mini</t>
  </si>
  <si>
    <t>La vanne sera choisie avec</t>
  </si>
  <si>
    <t>un Xt &gt; ou = au Xt mini calculé.</t>
  </si>
  <si>
    <t>correspondant à la saturation du débit.</t>
  </si>
  <si>
    <t>Xt =</t>
  </si>
  <si>
    <t>Fl</t>
  </si>
  <si>
    <t>Xt approché</t>
  </si>
  <si>
    <t>Densité à 0°C et P.atm.:</t>
  </si>
  <si>
    <t>kv =</t>
  </si>
  <si>
    <t>X = Xt =</t>
  </si>
  <si>
    <t>Débit nominal de la vanne :</t>
  </si>
  <si>
    <t>Pression amont =</t>
  </si>
  <si>
    <t>Calcul des débits de fuite (Norme CEI 60534-4):</t>
  </si>
  <si>
    <t>(Calcul du Q maxi que l'on pourrait obtenir avec P1  = 4 bar abs.)</t>
  </si>
  <si>
    <t>Cv équivalent</t>
  </si>
  <si>
    <t>Kv choisi</t>
  </si>
  <si>
    <t>Calcul des débits de fuite</t>
  </si>
  <si>
    <t xml:space="preserve"> (4 ou 5 bar abs. dans la norme)</t>
  </si>
  <si>
    <t>NB.: Y (fuite) = 0,667</t>
  </si>
  <si>
    <t>VI</t>
  </si>
  <si>
    <t>Km</t>
  </si>
  <si>
    <r>
      <t xml:space="preserve">Calcul de </t>
    </r>
    <r>
      <rPr>
        <b/>
        <sz val="10"/>
        <rFont val="Arial"/>
        <family val="2"/>
      </rPr>
      <t>Fl</t>
    </r>
    <r>
      <rPr>
        <sz val="10"/>
        <rFont val="Arial"/>
        <family val="0"/>
      </rPr>
      <t xml:space="preserve"> à partir de </t>
    </r>
    <r>
      <rPr>
        <b/>
        <sz val="10"/>
        <rFont val="Arial"/>
        <family val="2"/>
      </rPr>
      <t>Km</t>
    </r>
  </si>
  <si>
    <t>(Eau = 221 bars)</t>
  </si>
  <si>
    <t>NB: FL = Racine(Km) = Cf</t>
  </si>
  <si>
    <t>Projet :</t>
  </si>
  <si>
    <t>Repère vanne :</t>
  </si>
  <si>
    <t>Fluide :</t>
  </si>
  <si>
    <t>Etat :</t>
  </si>
  <si>
    <t>Acide/basique :</t>
  </si>
  <si>
    <t>Corrosif :</t>
  </si>
  <si>
    <t>Conditions d'utilisation</t>
  </si>
  <si>
    <t>Débit</t>
  </si>
  <si>
    <t>Maxi</t>
  </si>
  <si>
    <t>Nominal</t>
  </si>
  <si>
    <t>Mini</t>
  </si>
  <si>
    <t>Pression</t>
  </si>
  <si>
    <t>Température</t>
  </si>
  <si>
    <t>Cv / Kv</t>
  </si>
  <si>
    <t>Vanne :</t>
  </si>
  <si>
    <t>DN</t>
  </si>
  <si>
    <t>OMA / FMA</t>
  </si>
  <si>
    <t>Classe d'étanchéité</t>
  </si>
  <si>
    <t>Raccordement</t>
  </si>
  <si>
    <t>Caractéristique intrinsèque</t>
  </si>
  <si>
    <t>Rangeabilité</t>
  </si>
  <si>
    <t>Unité</t>
  </si>
  <si>
    <t>Delta-P vanne fermée</t>
  </si>
  <si>
    <t>m3(n)/h</t>
  </si>
  <si>
    <t>Matériaux corps</t>
  </si>
  <si>
    <t>Matériaux clapet/siège</t>
  </si>
  <si>
    <t>Positionneur :</t>
  </si>
  <si>
    <t>Accessoires :</t>
  </si>
  <si>
    <t>Commande manuelle</t>
  </si>
  <si>
    <t>Recopie de position</t>
  </si>
  <si>
    <t>Masse volumique :</t>
  </si>
  <si>
    <t>NB.: Racine de KC = Fl =</t>
  </si>
  <si>
    <t>Gaz ou Vapeur</t>
  </si>
  <si>
    <t>Rapport de chaleurs massiques Gamma</t>
  </si>
  <si>
    <t>Masse volumique (kg/m3)</t>
  </si>
  <si>
    <t>Masse moléculaire (g/mol)</t>
  </si>
  <si>
    <t>Symbole</t>
  </si>
  <si>
    <t>à 15 °C</t>
  </si>
  <si>
    <t>à 0 °C</t>
  </si>
  <si>
    <t>Acétylène</t>
  </si>
  <si>
    <t>Acide sulfhydrique</t>
  </si>
  <si>
    <r>
      <t>H</t>
    </r>
    <r>
      <rPr>
        <sz val="8"/>
        <rFont val="Arial"/>
        <family val="2"/>
      </rPr>
      <t>2</t>
    </r>
    <r>
      <rPr>
        <sz val="10"/>
        <rFont val="Arial"/>
        <family val="0"/>
      </rPr>
      <t>S</t>
    </r>
  </si>
  <si>
    <t>Acide sulfureux</t>
  </si>
  <si>
    <r>
      <t>H</t>
    </r>
    <r>
      <rPr>
        <sz val="8"/>
        <rFont val="Arial"/>
        <family val="2"/>
      </rPr>
      <t>2</t>
    </r>
    <r>
      <rPr>
        <sz val="10"/>
        <rFont val="Arial"/>
        <family val="0"/>
      </rPr>
      <t>SO</t>
    </r>
    <r>
      <rPr>
        <sz val="8"/>
        <rFont val="Arial"/>
        <family val="2"/>
      </rPr>
      <t>3</t>
    </r>
  </si>
  <si>
    <t>Air</t>
  </si>
  <si>
    <r>
      <t>N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+ O</t>
    </r>
    <r>
      <rPr>
        <sz val="8"/>
        <rFont val="Arial"/>
        <family val="2"/>
      </rPr>
      <t>2</t>
    </r>
  </si>
  <si>
    <t>Acide sulfurique</t>
  </si>
  <si>
    <r>
      <t>H</t>
    </r>
    <r>
      <rPr>
        <sz val="8"/>
        <rFont val="Arial"/>
        <family val="2"/>
      </rPr>
      <t>2</t>
    </r>
    <r>
      <rPr>
        <sz val="10"/>
        <rFont val="Arial"/>
        <family val="0"/>
      </rPr>
      <t>SO</t>
    </r>
    <r>
      <rPr>
        <sz val="8"/>
        <rFont val="Arial"/>
        <family val="2"/>
      </rPr>
      <t>4</t>
    </r>
  </si>
  <si>
    <t>Alcool éthylique</t>
  </si>
  <si>
    <t>Alcool méthylique</t>
  </si>
  <si>
    <t>Ammoniac</t>
  </si>
  <si>
    <r>
      <t>NH</t>
    </r>
    <r>
      <rPr>
        <sz val="8"/>
        <rFont val="Arial"/>
        <family val="2"/>
      </rPr>
      <t>3</t>
    </r>
  </si>
  <si>
    <t>Anhydride carbonique</t>
  </si>
  <si>
    <r>
      <t>CO</t>
    </r>
    <r>
      <rPr>
        <sz val="8"/>
        <rFont val="Arial"/>
        <family val="2"/>
      </rPr>
      <t>2</t>
    </r>
  </si>
  <si>
    <t>Anhydride sulfureux</t>
  </si>
  <si>
    <r>
      <t>SO</t>
    </r>
    <r>
      <rPr>
        <sz val="8"/>
        <rFont val="Arial"/>
        <family val="2"/>
      </rPr>
      <t>2</t>
    </r>
  </si>
  <si>
    <t>Argon</t>
  </si>
  <si>
    <t>A</t>
  </si>
  <si>
    <t>Azote</t>
  </si>
  <si>
    <r>
      <t>N</t>
    </r>
    <r>
      <rPr>
        <sz val="8"/>
        <rFont val="Arial"/>
        <family val="2"/>
      </rPr>
      <t>2</t>
    </r>
  </si>
  <si>
    <t>Benzène</t>
  </si>
  <si>
    <t>Isobutane</t>
  </si>
  <si>
    <r>
      <t>C</t>
    </r>
    <r>
      <rPr>
        <sz val="8"/>
        <rFont val="Arial"/>
        <family val="2"/>
      </rPr>
      <t>4</t>
    </r>
    <r>
      <rPr>
        <sz val="10"/>
        <rFont val="Arial"/>
        <family val="0"/>
      </rPr>
      <t>H</t>
    </r>
    <r>
      <rPr>
        <sz val="8"/>
        <rFont val="Arial"/>
        <family val="2"/>
      </rPr>
      <t>10</t>
    </r>
  </si>
  <si>
    <t>n.butane</t>
  </si>
  <si>
    <t>Isobutylène</t>
  </si>
  <si>
    <t>Butylène</t>
  </si>
  <si>
    <t>Chlore</t>
  </si>
  <si>
    <r>
      <t>CL</t>
    </r>
    <r>
      <rPr>
        <sz val="8"/>
        <rFont val="Arial"/>
        <family val="2"/>
      </rPr>
      <t>2</t>
    </r>
  </si>
  <si>
    <t>Chorure d'éthyle</t>
  </si>
  <si>
    <t>Chlorure de méthyle</t>
  </si>
  <si>
    <t>n-décane</t>
  </si>
  <si>
    <t>Dioxyde de carbone</t>
  </si>
  <si>
    <t>Ethane</t>
  </si>
  <si>
    <t>Ethylène</t>
  </si>
  <si>
    <r>
      <t>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4</t>
    </r>
  </si>
  <si>
    <t>Gaz de carneau</t>
  </si>
  <si>
    <t>Gaz de cracking catalytique</t>
  </si>
  <si>
    <t>Gaz à l'eau carburée</t>
  </si>
  <si>
    <t>Gaz de fours à coke</t>
  </si>
  <si>
    <t>Gaz de haut fourneau</t>
  </si>
  <si>
    <t>Gaz naturel</t>
  </si>
  <si>
    <t>Hélium</t>
  </si>
  <si>
    <t>He</t>
  </si>
  <si>
    <t>n-heptane</t>
  </si>
  <si>
    <t>n-hexane</t>
  </si>
  <si>
    <t>Hydrogène</t>
  </si>
  <si>
    <r>
      <t>H</t>
    </r>
    <r>
      <rPr>
        <sz val="8"/>
        <rFont val="Arial"/>
        <family val="2"/>
      </rPr>
      <t>2</t>
    </r>
  </si>
  <si>
    <t>Méthane</t>
  </si>
  <si>
    <r>
      <t>CH</t>
    </r>
    <r>
      <rPr>
        <sz val="8"/>
        <rFont val="Arial"/>
        <family val="2"/>
      </rPr>
      <t>4</t>
    </r>
  </si>
  <si>
    <t>Monoxyde de carbone</t>
  </si>
  <si>
    <t>CO</t>
  </si>
  <si>
    <t>n-nonane</t>
  </si>
  <si>
    <t>n-octane</t>
  </si>
  <si>
    <t>Oxyde de carbone</t>
  </si>
  <si>
    <t>Oxygène</t>
  </si>
  <si>
    <r>
      <t>O</t>
    </r>
    <r>
      <rPr>
        <sz val="8"/>
        <rFont val="Arial"/>
        <family val="2"/>
      </rPr>
      <t>2</t>
    </r>
  </si>
  <si>
    <t>Isopentane</t>
  </si>
  <si>
    <t>n-pentane</t>
  </si>
  <si>
    <t>Pentylène</t>
  </si>
  <si>
    <t>Propane</t>
  </si>
  <si>
    <t>Propylène</t>
  </si>
  <si>
    <t>Vapeur d'eau</t>
  </si>
  <si>
    <r>
      <t>H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</si>
  <si>
    <t>Densité :</t>
  </si>
  <si>
    <t>Sens d'écoulement</t>
  </si>
  <si>
    <t>Fl mini</t>
  </si>
  <si>
    <t>Presse-étoupe</t>
  </si>
  <si>
    <t>Soufflet d'étanchéité</t>
  </si>
  <si>
    <t>Bouchon d'évent</t>
  </si>
  <si>
    <t>PN</t>
  </si>
  <si>
    <t>Type</t>
  </si>
  <si>
    <t>Signal d'entrée</t>
  </si>
  <si>
    <t>Protocole de communication</t>
  </si>
  <si>
    <t>Détendeur</t>
  </si>
  <si>
    <t>Pression de vaporisation</t>
  </si>
  <si>
    <t>F.d.C. position vanne ouverte</t>
  </si>
  <si>
    <t>F.d.C. position vanne fermée</t>
  </si>
  <si>
    <t>Indice de protection</t>
  </si>
  <si>
    <t>Zone dangereuse</t>
  </si>
  <si>
    <t>Xt approché = 0,6*gamma* Fl² (Km = Fl²)</t>
  </si>
  <si>
    <t>Courbe de saturation de la VAPEUR D'EAU</t>
  </si>
  <si>
    <t>Masse volumique</t>
  </si>
  <si>
    <t>Bar abs.</t>
  </si>
  <si>
    <t>Eau (kg/l)</t>
  </si>
  <si>
    <t>Vapeur (Kg/m3)</t>
  </si>
  <si>
    <t>Pression critique (bar abs.)</t>
  </si>
  <si>
    <t>Température critique        (°C)</t>
  </si>
  <si>
    <t>Voir Uconeer</t>
  </si>
  <si>
    <r>
      <t>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2</t>
    </r>
  </si>
  <si>
    <r>
      <t>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5</t>
    </r>
    <r>
      <rPr>
        <sz val="10"/>
        <rFont val="Arial"/>
        <family val="0"/>
      </rPr>
      <t>OH</t>
    </r>
  </si>
  <si>
    <r>
      <t>H-CH</t>
    </r>
    <r>
      <rPr>
        <sz val="8"/>
        <rFont val="Arial"/>
        <family val="2"/>
      </rPr>
      <t>2</t>
    </r>
    <r>
      <rPr>
        <sz val="10"/>
        <rFont val="Arial"/>
        <family val="0"/>
      </rPr>
      <t>OH</t>
    </r>
  </si>
  <si>
    <t>Butane</t>
  </si>
  <si>
    <t>Gaz carbonique</t>
  </si>
  <si>
    <r>
      <t>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6</t>
    </r>
  </si>
  <si>
    <t>Pentane</t>
  </si>
  <si>
    <r>
      <t>C</t>
    </r>
    <r>
      <rPr>
        <sz val="8"/>
        <rFont val="Arial"/>
        <family val="2"/>
      </rPr>
      <t>5</t>
    </r>
    <r>
      <rPr>
        <sz val="10"/>
        <rFont val="Arial"/>
        <family val="0"/>
      </rPr>
      <t>H</t>
    </r>
    <r>
      <rPr>
        <sz val="8"/>
        <rFont val="Arial"/>
        <family val="2"/>
      </rPr>
      <t>12</t>
    </r>
  </si>
  <si>
    <r>
      <t>C</t>
    </r>
    <r>
      <rPr>
        <sz val="8"/>
        <rFont val="Arial"/>
        <family val="2"/>
      </rPr>
      <t>3</t>
    </r>
    <r>
      <rPr>
        <sz val="10"/>
        <rFont val="Arial"/>
        <family val="0"/>
      </rPr>
      <t>H</t>
    </r>
    <r>
      <rPr>
        <sz val="8"/>
        <rFont val="Arial"/>
        <family val="2"/>
      </rPr>
      <t>8</t>
    </r>
  </si>
  <si>
    <r>
      <t>CH</t>
    </r>
    <r>
      <rPr>
        <sz val="8"/>
        <rFont val="Arial"/>
        <family val="2"/>
      </rPr>
      <t>2=</t>
    </r>
    <r>
      <rPr>
        <sz val="10"/>
        <rFont val="Arial"/>
        <family val="0"/>
      </rPr>
      <t>CH-CH</t>
    </r>
    <r>
      <rPr>
        <sz val="8"/>
        <rFont val="Arial"/>
        <family val="2"/>
      </rPr>
      <t>3</t>
    </r>
  </si>
  <si>
    <t>Vitesse à l'entrée (m/s) :</t>
  </si>
  <si>
    <t>DN choisi :</t>
  </si>
  <si>
    <t>Vitesse maxi (m/s)  :</t>
  </si>
  <si>
    <t>20 à 50</t>
  </si>
  <si>
    <t>40 à 70</t>
  </si>
  <si>
    <t>40 à 60</t>
  </si>
  <si>
    <t>Vapeur surchauffée</t>
  </si>
  <si>
    <t>50 à 100</t>
  </si>
  <si>
    <t>80 à 130</t>
  </si>
  <si>
    <t>80 à 120</t>
  </si>
  <si>
    <t>Vanne à clapet :</t>
  </si>
  <si>
    <t>Vanne à cage :</t>
  </si>
  <si>
    <t>Vanne rotative excentrée :</t>
  </si>
  <si>
    <t>des clapets et des guides durcis.</t>
  </si>
  <si>
    <t>NB :</t>
  </si>
  <si>
    <t xml:space="preserve">Les valeurs extrêmes sont obtenues avec  </t>
  </si>
  <si>
    <t>Attention à la vitesse à l'entrée de la vanne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</si>
</sst>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</numFmts>
  <fonts count="35">
    <font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2"/>
      <name val="Symbol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Symbol"/>
      <family val="1"/>
    </font>
    <font>
      <b/>
      <sz val="12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40"/>
      <name val="Arial"/>
      <family val="2"/>
    </font>
    <font>
      <b/>
      <sz val="10"/>
      <color indexed="48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2"/>
      <color indexed="17"/>
      <name val="Comic Sans MS"/>
      <family val="4"/>
    </font>
    <font>
      <b/>
      <sz val="14"/>
      <color indexed="12"/>
      <name val="Arial"/>
      <family val="2"/>
    </font>
    <font>
      <b/>
      <sz val="10"/>
      <name val="Tahoma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0" xfId="0" applyFont="1" applyFill="1" applyAlignment="1">
      <alignment horizontal="left"/>
    </xf>
    <xf numFmtId="0" fontId="3" fillId="4" borderId="0" xfId="15" applyFill="1" applyAlignment="1">
      <alignment horizontal="center"/>
    </xf>
    <xf numFmtId="0" fontId="0" fillId="4" borderId="0" xfId="0" applyFill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/>
    </xf>
    <xf numFmtId="0" fontId="14" fillId="4" borderId="0" xfId="0" applyFont="1" applyFill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right"/>
    </xf>
    <xf numFmtId="0" fontId="13" fillId="4" borderId="0" xfId="0" applyFont="1" applyFill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7" fillId="4" borderId="5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7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/>
    </xf>
    <xf numFmtId="173" fontId="0" fillId="4" borderId="0" xfId="0" applyNumberFormat="1" applyFill="1" applyAlignment="1">
      <alignment horizontal="left"/>
    </xf>
    <xf numFmtId="0" fontId="0" fillId="4" borderId="18" xfId="0" applyFont="1" applyFill="1" applyBorder="1" applyAlignment="1">
      <alignment horizontal="right"/>
    </xf>
    <xf numFmtId="0" fontId="0" fillId="4" borderId="7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21" fillId="4" borderId="3" xfId="0" applyFont="1" applyFill="1" applyBorder="1" applyAlignment="1">
      <alignment/>
    </xf>
    <xf numFmtId="0" fontId="21" fillId="4" borderId="9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2" fillId="4" borderId="0" xfId="0" applyFont="1" applyFill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11" xfId="0" applyFont="1" applyFill="1" applyBorder="1" applyAlignment="1">
      <alignment/>
    </xf>
    <xf numFmtId="172" fontId="12" fillId="4" borderId="2" xfId="0" applyNumberFormat="1" applyFont="1" applyFill="1" applyBorder="1" applyAlignment="1">
      <alignment horizontal="center"/>
    </xf>
    <xf numFmtId="172" fontId="11" fillId="4" borderId="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2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/>
    </xf>
    <xf numFmtId="0" fontId="8" fillId="4" borderId="0" xfId="0" applyFont="1" applyFill="1" applyAlignment="1">
      <alignment/>
    </xf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/>
    </xf>
    <xf numFmtId="0" fontId="20" fillId="4" borderId="0" xfId="0" applyFont="1" applyFill="1" applyAlignment="1">
      <alignment horizontal="right"/>
    </xf>
    <xf numFmtId="0" fontId="22" fillId="4" borderId="0" xfId="0" applyFont="1" applyFill="1" applyAlignment="1">
      <alignment/>
    </xf>
    <xf numFmtId="0" fontId="0" fillId="4" borderId="0" xfId="0" applyFill="1" applyAlignment="1">
      <alignment horizontal="right" vertical="center"/>
    </xf>
    <xf numFmtId="0" fontId="3" fillId="4" borderId="0" xfId="15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Border="1" applyAlignment="1">
      <alignment horizontal="right"/>
    </xf>
    <xf numFmtId="172" fontId="5" fillId="4" borderId="0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right"/>
    </xf>
    <xf numFmtId="0" fontId="0" fillId="4" borderId="1" xfId="0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2" xfId="0" applyFon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20" xfId="0" applyFill="1" applyBorder="1" applyAlignment="1">
      <alignment/>
    </xf>
    <xf numFmtId="0" fontId="5" fillId="4" borderId="2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7" xfId="0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8" fillId="4" borderId="4" xfId="0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9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0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right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0" fontId="2" fillId="4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righ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1" fontId="0" fillId="3" borderId="16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2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/>
    </xf>
    <xf numFmtId="0" fontId="14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3" xfId="0" applyFont="1" applyFill="1" applyBorder="1" applyAlignment="1">
      <alignment/>
    </xf>
    <xf numFmtId="0" fontId="0" fillId="5" borderId="5" xfId="0" applyFont="1" applyFill="1" applyBorder="1" applyAlignment="1">
      <alignment horizontal="right"/>
    </xf>
    <xf numFmtId="0" fontId="0" fillId="5" borderId="4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19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21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5" borderId="15" xfId="0" applyFont="1" applyFill="1" applyBorder="1" applyAlignment="1">
      <alignment/>
    </xf>
    <xf numFmtId="0" fontId="10" fillId="5" borderId="1" xfId="0" applyFont="1" applyFill="1" applyBorder="1" applyAlignment="1">
      <alignment horizontal="right"/>
    </xf>
    <xf numFmtId="2" fontId="10" fillId="5" borderId="2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0" xfId="0" applyFont="1" applyFill="1" applyBorder="1" applyAlignment="1">
      <alignment/>
    </xf>
    <xf numFmtId="0" fontId="25" fillId="5" borderId="20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/>
    </xf>
    <xf numFmtId="0" fontId="15" fillId="5" borderId="20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9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18" xfId="0" applyFont="1" applyFill="1" applyBorder="1" applyAlignment="1">
      <alignment horizontal="right"/>
    </xf>
    <xf numFmtId="0" fontId="0" fillId="5" borderId="18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3" xfId="0" applyFont="1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ont="1" applyFill="1" applyBorder="1" applyAlignment="1">
      <alignment horizontal="left"/>
    </xf>
    <xf numFmtId="172" fontId="0" fillId="5" borderId="2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/>
    </xf>
    <xf numFmtId="0" fontId="0" fillId="3" borderId="10" xfId="0" applyFont="1" applyFill="1" applyBorder="1" applyAlignment="1">
      <alignment horizontal="right"/>
    </xf>
    <xf numFmtId="0" fontId="1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righ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12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21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right"/>
    </xf>
    <xf numFmtId="2" fontId="12" fillId="3" borderId="16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173" fontId="8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173" fontId="1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0" xfId="0" applyFill="1" applyBorder="1" applyAlignment="1">
      <alignment/>
    </xf>
    <xf numFmtId="0" fontId="23" fillId="3" borderId="20" xfId="0" applyFont="1" applyFill="1" applyBorder="1" applyAlignment="1">
      <alignment horizontal="right"/>
    </xf>
    <xf numFmtId="1" fontId="23" fillId="3" borderId="20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20" xfId="0" applyFont="1" applyFill="1" applyBorder="1" applyAlignment="1">
      <alignment horizontal="right"/>
    </xf>
    <xf numFmtId="1" fontId="7" fillId="3" borderId="2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16" fillId="3" borderId="1" xfId="0" applyFont="1" applyFill="1" applyBorder="1" applyAlignment="1">
      <alignment horizontal="right"/>
    </xf>
    <xf numFmtId="1" fontId="10" fillId="3" borderId="2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7" xfId="0" applyFont="1" applyFill="1" applyBorder="1" applyAlignment="1">
      <alignment horizontal="right"/>
    </xf>
    <xf numFmtId="173" fontId="0" fillId="3" borderId="7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3" borderId="0" xfId="0" applyFill="1" applyAlignment="1">
      <alignment horizontal="right"/>
    </xf>
    <xf numFmtId="2" fontId="10" fillId="3" borderId="0" xfId="0" applyNumberFormat="1" applyFont="1" applyFill="1" applyBorder="1" applyAlignment="1">
      <alignment horizontal="center"/>
    </xf>
    <xf numFmtId="1" fontId="23" fillId="3" borderId="0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18" fillId="3" borderId="0" xfId="0" applyFont="1" applyFill="1" applyAlignment="1">
      <alignment/>
    </xf>
    <xf numFmtId="172" fontId="23" fillId="4" borderId="17" xfId="0" applyNumberFormat="1" applyFont="1" applyFill="1" applyBorder="1" applyAlignment="1">
      <alignment horizontal="center"/>
    </xf>
    <xf numFmtId="172" fontId="23" fillId="4" borderId="19" xfId="0" applyNumberFormat="1" applyFont="1" applyFill="1" applyBorder="1" applyAlignment="1">
      <alignment horizontal="center"/>
    </xf>
    <xf numFmtId="172" fontId="0" fillId="3" borderId="0" xfId="0" applyNumberFormat="1" applyFill="1" applyBorder="1" applyAlignment="1">
      <alignment horizontal="right"/>
    </xf>
    <xf numFmtId="0" fontId="26" fillId="4" borderId="12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4" borderId="2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6" fillId="4" borderId="22" xfId="0" applyFont="1" applyFill="1" applyBorder="1" applyAlignment="1">
      <alignment/>
    </xf>
    <xf numFmtId="0" fontId="26" fillId="4" borderId="15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0" fontId="26" fillId="4" borderId="17" xfId="0" applyFont="1" applyFill="1" applyBorder="1" applyAlignment="1">
      <alignment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17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1" fontId="10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1" fontId="0" fillId="3" borderId="7" xfId="0" applyNumberForma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8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1" fontId="10" fillId="3" borderId="7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right"/>
    </xf>
    <xf numFmtId="0" fontId="0" fillId="5" borderId="19" xfId="0" applyFill="1" applyBorder="1" applyAlignment="1">
      <alignment/>
    </xf>
    <xf numFmtId="172" fontId="10" fillId="5" borderId="7" xfId="0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173" fontId="0" fillId="4" borderId="16" xfId="0" applyNumberFormat="1" applyFill="1" applyBorder="1" applyAlignment="1">
      <alignment horizontal="right"/>
    </xf>
    <xf numFmtId="0" fontId="26" fillId="4" borderId="0" xfId="0" applyFont="1" applyFill="1" applyAlignment="1">
      <alignment horizontal="right"/>
    </xf>
    <xf numFmtId="0" fontId="3" fillId="4" borderId="0" xfId="15" applyFill="1" applyAlignment="1">
      <alignment horizontal="left"/>
    </xf>
    <xf numFmtId="0" fontId="3" fillId="4" borderId="0" xfId="15" applyFill="1" applyAlignment="1">
      <alignment/>
    </xf>
    <xf numFmtId="0" fontId="28" fillId="4" borderId="0" xfId="0" applyFont="1" applyFill="1" applyAlignment="1">
      <alignment horizontal="left"/>
    </xf>
    <xf numFmtId="4" fontId="0" fillId="4" borderId="0" xfId="0" applyNumberFormat="1" applyFill="1" applyAlignment="1">
      <alignment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/>
      <protection locked="0"/>
    </xf>
    <xf numFmtId="173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4" xfId="0" applyFont="1" applyFill="1" applyBorder="1" applyAlignment="1">
      <alignment horizontal="center"/>
    </xf>
    <xf numFmtId="173" fontId="0" fillId="3" borderId="0" xfId="0" applyNumberFormat="1" applyFont="1" applyFill="1" applyBorder="1" applyAlignment="1">
      <alignment horizontal="center"/>
    </xf>
    <xf numFmtId="174" fontId="0" fillId="3" borderId="0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172" fontId="0" fillId="3" borderId="0" xfId="0" applyNumberFormat="1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3" borderId="25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73" fontId="0" fillId="3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/>
    </xf>
    <xf numFmtId="1" fontId="12" fillId="3" borderId="16" xfId="0" applyNumberFormat="1" applyFont="1" applyFill="1" applyBorder="1" applyAlignment="1">
      <alignment horizontal="center"/>
    </xf>
    <xf numFmtId="173" fontId="2" fillId="3" borderId="0" xfId="0" applyNumberFormat="1" applyFont="1" applyFill="1" applyAlignment="1">
      <alignment horizontal="center"/>
    </xf>
    <xf numFmtId="1" fontId="10" fillId="5" borderId="19" xfId="0" applyNumberFormat="1" applyFont="1" applyFill="1" applyBorder="1" applyAlignment="1">
      <alignment horizontal="left"/>
    </xf>
    <xf numFmtId="0" fontId="10" fillId="5" borderId="18" xfId="0" applyFont="1" applyFill="1" applyBorder="1" applyAlignment="1">
      <alignment horizontal="right"/>
    </xf>
    <xf numFmtId="0" fontId="0" fillId="7" borderId="25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1" fontId="0" fillId="3" borderId="25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31" fillId="3" borderId="1" xfId="0" applyFont="1" applyFill="1" applyBorder="1" applyAlignment="1">
      <alignment/>
    </xf>
    <xf numFmtId="0" fontId="32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right"/>
    </xf>
    <xf numFmtId="0" fontId="0" fillId="4" borderId="1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4" borderId="25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3" borderId="16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 vertical="center" wrapText="1"/>
    </xf>
    <xf numFmtId="173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2" fontId="10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20" xfId="0" applyFill="1" applyBorder="1" applyAlignment="1">
      <alignment horizontal="right"/>
    </xf>
    <xf numFmtId="2" fontId="0" fillId="5" borderId="2" xfId="0" applyNumberForma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28" xfId="0" applyFill="1" applyBorder="1" applyAlignment="1">
      <alignment/>
    </xf>
    <xf numFmtId="0" fontId="0" fillId="5" borderId="23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29" xfId="0" applyFill="1" applyBorder="1" applyAlignment="1">
      <alignment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right"/>
    </xf>
    <xf numFmtId="0" fontId="3" fillId="4" borderId="0" xfId="15" applyFill="1" applyBorder="1" applyAlignment="1">
      <alignment horizontal="center"/>
    </xf>
    <xf numFmtId="0" fontId="29" fillId="4" borderId="18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4" fillId="3" borderId="32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E9E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76200</xdr:rowOff>
    </xdr:from>
    <xdr:to>
      <xdr:col>5</xdr:col>
      <xdr:colOff>561975</xdr:colOff>
      <xdr:row>8</xdr:row>
      <xdr:rowOff>152400</xdr:rowOff>
    </xdr:to>
    <xdr:sp>
      <xdr:nvSpPr>
        <xdr:cNvPr id="1" name="TextBox 116"/>
        <xdr:cNvSpPr txBox="1">
          <a:spLocks noChangeArrowheads="1"/>
        </xdr:cNvSpPr>
      </xdr:nvSpPr>
      <xdr:spPr>
        <a:xfrm>
          <a:off x="3962400" y="1704975"/>
          <a:ext cx="447675" cy="2476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2</xdr:col>
      <xdr:colOff>495300</xdr:colOff>
      <xdr:row>0</xdr:row>
      <xdr:rowOff>28575</xdr:rowOff>
    </xdr:from>
    <xdr:to>
      <xdr:col>6</xdr:col>
      <xdr:colOff>266700</xdr:colOff>
      <xdr:row>1</xdr:row>
      <xdr:rowOff>19050</xdr:rowOff>
    </xdr:to>
    <xdr:sp>
      <xdr:nvSpPr>
        <xdr:cNvPr id="2" name="Rectangle 114"/>
        <xdr:cNvSpPr>
          <a:spLocks/>
        </xdr:cNvSpPr>
      </xdr:nvSpPr>
      <xdr:spPr>
        <a:xfrm>
          <a:off x="2019300" y="28575"/>
          <a:ext cx="2876550" cy="371475"/>
        </a:xfrm>
        <a:prstGeom prst="rect">
          <a:avLst/>
        </a:prstGeom>
        <a:solidFill>
          <a:srgbClr val="CC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9525</xdr:rowOff>
    </xdr:from>
    <xdr:to>
      <xdr:col>4</xdr:col>
      <xdr:colOff>619125</xdr:colOff>
      <xdr:row>10</xdr:row>
      <xdr:rowOff>0</xdr:rowOff>
    </xdr:to>
    <xdr:grpSp>
      <xdr:nvGrpSpPr>
        <xdr:cNvPr id="3" name="Group 107"/>
        <xdr:cNvGrpSpPr>
          <a:grpSpLocks/>
        </xdr:cNvGrpSpPr>
      </xdr:nvGrpSpPr>
      <xdr:grpSpPr>
        <a:xfrm>
          <a:off x="2438400" y="1638300"/>
          <a:ext cx="1228725" cy="495300"/>
          <a:chOff x="256" y="134"/>
          <a:chExt cx="129" cy="52"/>
        </a:xfrm>
        <a:solidFill>
          <a:srgbClr val="FFFFFF"/>
        </a:solidFill>
      </xdr:grpSpPr>
      <xdr:sp>
        <xdr:nvSpPr>
          <xdr:cNvPr id="4" name="AutoShape 8"/>
          <xdr:cNvSpPr>
            <a:spLocks/>
          </xdr:cNvSpPr>
        </xdr:nvSpPr>
        <xdr:spPr>
          <a:xfrm>
            <a:off x="256" y="134"/>
            <a:ext cx="129" cy="52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280" y="151"/>
            <a:ext cx="8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P2 </a:t>
            </a:r>
            <a:r>
              <a:rPr lang="en-US" cap="none" sz="1000" b="1" i="0" u="none" baseline="0">
                <a:latin typeface="Symbol"/>
                <a:ea typeface="Symbol"/>
                <a:cs typeface="Symbol"/>
              </a:rPr>
              <a:t>£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Pv ?</a:t>
            </a:r>
          </a:p>
        </xdr:txBody>
      </xdr:sp>
    </xdr:grpSp>
    <xdr:clientData/>
  </xdr:twoCellAnchor>
  <xdr:twoCellAnchor>
    <xdr:from>
      <xdr:col>4</xdr:col>
      <xdr:colOff>542925</xdr:colOff>
      <xdr:row>25</xdr:row>
      <xdr:rowOff>9525</xdr:rowOff>
    </xdr:from>
    <xdr:to>
      <xdr:col>6</xdr:col>
      <xdr:colOff>247650</xdr:colOff>
      <xdr:row>28</xdr:row>
      <xdr:rowOff>19050</xdr:rowOff>
    </xdr:to>
    <xdr:grpSp>
      <xdr:nvGrpSpPr>
        <xdr:cNvPr id="6" name="Group 110"/>
        <xdr:cNvGrpSpPr>
          <a:grpSpLocks/>
        </xdr:cNvGrpSpPr>
      </xdr:nvGrpSpPr>
      <xdr:grpSpPr>
        <a:xfrm>
          <a:off x="3590925" y="4581525"/>
          <a:ext cx="1285875" cy="514350"/>
          <a:chOff x="377" y="443"/>
          <a:chExt cx="129" cy="54"/>
        </a:xfrm>
        <a:solidFill>
          <a:srgbClr val="FFFFFF"/>
        </a:solidFill>
      </xdr:grpSpPr>
      <xdr:sp>
        <xdr:nvSpPr>
          <xdr:cNvPr id="7" name="AutoShape 3"/>
          <xdr:cNvSpPr>
            <a:spLocks/>
          </xdr:cNvSpPr>
        </xdr:nvSpPr>
        <xdr:spPr>
          <a:xfrm>
            <a:off x="377" y="443"/>
            <a:ext cx="129" cy="54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4"/>
          <xdr:cNvSpPr txBox="1">
            <a:spLocks noChangeArrowheads="1"/>
          </xdr:cNvSpPr>
        </xdr:nvSpPr>
        <xdr:spPr>
          <a:xfrm>
            <a:off x="391" y="461"/>
            <a:ext cx="11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DPv &gt; </a:t>
            </a:r>
            <a:r>
              <a: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DPdc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?</a:t>
            </a:r>
          </a:p>
        </xdr:txBody>
      </xdr:sp>
    </xdr:grpSp>
    <xdr:clientData/>
  </xdr:twoCellAnchor>
  <xdr:twoCellAnchor>
    <xdr:from>
      <xdr:col>4</xdr:col>
      <xdr:colOff>638175</xdr:colOff>
      <xdr:row>8</xdr:row>
      <xdr:rowOff>85725</xdr:rowOff>
    </xdr:from>
    <xdr:to>
      <xdr:col>5</xdr:col>
      <xdr:colOff>752475</xdr:colOff>
      <xdr:row>8</xdr:row>
      <xdr:rowOff>85725</xdr:rowOff>
    </xdr:to>
    <xdr:sp>
      <xdr:nvSpPr>
        <xdr:cNvPr id="9" name="Line 10"/>
        <xdr:cNvSpPr>
          <a:spLocks/>
        </xdr:cNvSpPr>
      </xdr:nvSpPr>
      <xdr:spPr>
        <a:xfrm>
          <a:off x="3686175" y="18859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4</xdr:col>
      <xdr:colOff>0</xdr:colOff>
      <xdr:row>12</xdr:row>
      <xdr:rowOff>57150</xdr:rowOff>
    </xdr:to>
    <xdr:sp>
      <xdr:nvSpPr>
        <xdr:cNvPr id="10" name="Line 13"/>
        <xdr:cNvSpPr>
          <a:spLocks/>
        </xdr:cNvSpPr>
      </xdr:nvSpPr>
      <xdr:spPr>
        <a:xfrm>
          <a:off x="3048000" y="21431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47625</xdr:rowOff>
    </xdr:from>
    <xdr:to>
      <xdr:col>4</xdr:col>
      <xdr:colOff>638175</xdr:colOff>
      <xdr:row>15</xdr:row>
      <xdr:rowOff>114300</xdr:rowOff>
    </xdr:to>
    <xdr:grpSp>
      <xdr:nvGrpSpPr>
        <xdr:cNvPr id="11" name="Group 108"/>
        <xdr:cNvGrpSpPr>
          <a:grpSpLocks/>
        </xdr:cNvGrpSpPr>
      </xdr:nvGrpSpPr>
      <xdr:grpSpPr>
        <a:xfrm>
          <a:off x="2390775" y="2505075"/>
          <a:ext cx="1295400" cy="552450"/>
          <a:chOff x="251" y="225"/>
          <a:chExt cx="136" cy="58"/>
        </a:xfrm>
        <a:solidFill>
          <a:srgbClr val="FFFFFF"/>
        </a:solidFill>
      </xdr:grpSpPr>
      <xdr:sp>
        <xdr:nvSpPr>
          <xdr:cNvPr id="12" name="AutoShape 14"/>
          <xdr:cNvSpPr>
            <a:spLocks/>
          </xdr:cNvSpPr>
        </xdr:nvSpPr>
        <xdr:spPr>
          <a:xfrm>
            <a:off x="251" y="225"/>
            <a:ext cx="136" cy="58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277" y="245"/>
            <a:ext cx="88" cy="19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Kc connu ?</a:t>
            </a:r>
          </a:p>
        </xdr:txBody>
      </xdr:sp>
    </xdr:grpSp>
    <xdr:clientData/>
  </xdr:twoCellAnchor>
  <xdr:twoCellAnchor>
    <xdr:from>
      <xdr:col>1</xdr:col>
      <xdr:colOff>390525</xdr:colOff>
      <xdr:row>14</xdr:row>
      <xdr:rowOff>0</xdr:rowOff>
    </xdr:from>
    <xdr:to>
      <xdr:col>3</xdr:col>
      <xdr:colOff>85725</xdr:colOff>
      <xdr:row>14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1152525" y="2781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0</xdr:rowOff>
    </xdr:from>
    <xdr:to>
      <xdr:col>1</xdr:col>
      <xdr:colOff>390525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1152525" y="2781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17</xdr:row>
      <xdr:rowOff>0</xdr:rowOff>
    </xdr:from>
    <xdr:to>
      <xdr:col>5</xdr:col>
      <xdr:colOff>390525</xdr:colOff>
      <xdr:row>19</xdr:row>
      <xdr:rowOff>0</xdr:rowOff>
    </xdr:to>
    <xdr:sp>
      <xdr:nvSpPr>
        <xdr:cNvPr id="16" name="Line 20"/>
        <xdr:cNvSpPr>
          <a:spLocks/>
        </xdr:cNvSpPr>
      </xdr:nvSpPr>
      <xdr:spPr>
        <a:xfrm>
          <a:off x="4238625" y="3267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24</xdr:row>
      <xdr:rowOff>0</xdr:rowOff>
    </xdr:from>
    <xdr:to>
      <xdr:col>5</xdr:col>
      <xdr:colOff>409575</xdr:colOff>
      <xdr:row>25</xdr:row>
      <xdr:rowOff>0</xdr:rowOff>
    </xdr:to>
    <xdr:sp>
      <xdr:nvSpPr>
        <xdr:cNvPr id="17" name="Line 24"/>
        <xdr:cNvSpPr>
          <a:spLocks/>
        </xdr:cNvSpPr>
      </xdr:nvSpPr>
      <xdr:spPr>
        <a:xfrm>
          <a:off x="4257675" y="4410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26</xdr:row>
      <xdr:rowOff>104775</xdr:rowOff>
    </xdr:from>
    <xdr:to>
      <xdr:col>7</xdr:col>
      <xdr:colOff>752475</xdr:colOff>
      <xdr:row>26</xdr:row>
      <xdr:rowOff>104775</xdr:rowOff>
    </xdr:to>
    <xdr:sp>
      <xdr:nvSpPr>
        <xdr:cNvPr id="18" name="Line 25"/>
        <xdr:cNvSpPr>
          <a:spLocks/>
        </xdr:cNvSpPr>
      </xdr:nvSpPr>
      <xdr:spPr>
        <a:xfrm>
          <a:off x="4886325" y="4848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104775</xdr:rowOff>
    </xdr:from>
    <xdr:to>
      <xdr:col>6</xdr:col>
      <xdr:colOff>523875</xdr:colOff>
      <xdr:row>35</xdr:row>
      <xdr:rowOff>85725</xdr:rowOff>
    </xdr:to>
    <xdr:grpSp>
      <xdr:nvGrpSpPr>
        <xdr:cNvPr id="19" name="Group 111"/>
        <xdr:cNvGrpSpPr>
          <a:grpSpLocks/>
        </xdr:cNvGrpSpPr>
      </xdr:nvGrpSpPr>
      <xdr:grpSpPr>
        <a:xfrm>
          <a:off x="3305175" y="5343525"/>
          <a:ext cx="1847850" cy="971550"/>
          <a:chOff x="347" y="523"/>
          <a:chExt cx="188" cy="102"/>
        </a:xfrm>
        <a:solidFill>
          <a:srgbClr val="FFFFFF"/>
        </a:solidFill>
      </xdr:grpSpPr>
      <xdr:sp>
        <xdr:nvSpPr>
          <xdr:cNvPr id="20" name="AutoShape 26"/>
          <xdr:cNvSpPr>
            <a:spLocks/>
          </xdr:cNvSpPr>
        </xdr:nvSpPr>
        <xdr:spPr>
          <a:xfrm>
            <a:off x="347" y="523"/>
            <a:ext cx="188" cy="102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27"/>
          <xdr:cNvSpPr txBox="1">
            <a:spLocks noChangeArrowheads="1"/>
          </xdr:cNvSpPr>
        </xdr:nvSpPr>
        <xdr:spPr>
          <a:xfrm>
            <a:off x="392" y="546"/>
            <a:ext cx="107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Km connu ?
Ou Cf connu ?
Ou Fl connu ?</a:t>
            </a:r>
          </a:p>
        </xdr:txBody>
      </xdr:sp>
    </xdr:grp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238125</xdr:colOff>
      <xdr:row>32</xdr:row>
      <xdr:rowOff>85725</xdr:rowOff>
    </xdr:to>
    <xdr:sp>
      <xdr:nvSpPr>
        <xdr:cNvPr id="22" name="Line 30"/>
        <xdr:cNvSpPr>
          <a:spLocks/>
        </xdr:cNvSpPr>
      </xdr:nvSpPr>
      <xdr:spPr>
        <a:xfrm flipH="1">
          <a:off x="2286000" y="58197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35</xdr:row>
      <xdr:rowOff>0</xdr:rowOff>
    </xdr:to>
    <xdr:sp>
      <xdr:nvSpPr>
        <xdr:cNvPr id="23" name="Line 32"/>
        <xdr:cNvSpPr>
          <a:spLocks/>
        </xdr:cNvSpPr>
      </xdr:nvSpPr>
      <xdr:spPr>
        <a:xfrm>
          <a:off x="2286000" y="55721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36</xdr:row>
      <xdr:rowOff>0</xdr:rowOff>
    </xdr:from>
    <xdr:to>
      <xdr:col>8</xdr:col>
      <xdr:colOff>0</xdr:colOff>
      <xdr:row>37</xdr:row>
      <xdr:rowOff>0</xdr:rowOff>
    </xdr:to>
    <xdr:sp>
      <xdr:nvSpPr>
        <xdr:cNvPr id="24" name="Rectangle 36"/>
        <xdr:cNvSpPr>
          <a:spLocks/>
        </xdr:cNvSpPr>
      </xdr:nvSpPr>
      <xdr:spPr>
        <a:xfrm>
          <a:off x="5010150" y="6391275"/>
          <a:ext cx="150495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37</xdr:row>
      <xdr:rowOff>9525</xdr:rowOff>
    </xdr:from>
    <xdr:to>
      <xdr:col>7</xdr:col>
      <xdr:colOff>276225</xdr:colOff>
      <xdr:row>42</xdr:row>
      <xdr:rowOff>0</xdr:rowOff>
    </xdr:to>
    <xdr:sp>
      <xdr:nvSpPr>
        <xdr:cNvPr id="25" name="Line 38"/>
        <xdr:cNvSpPr>
          <a:spLocks/>
        </xdr:cNvSpPr>
      </xdr:nvSpPr>
      <xdr:spPr>
        <a:xfrm>
          <a:off x="6029325" y="65627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0</xdr:rowOff>
    </xdr:from>
    <xdr:to>
      <xdr:col>7</xdr:col>
      <xdr:colOff>266700</xdr:colOff>
      <xdr:row>20</xdr:row>
      <xdr:rowOff>9525</xdr:rowOff>
    </xdr:to>
    <xdr:sp>
      <xdr:nvSpPr>
        <xdr:cNvPr id="26" name="Rectangle 45"/>
        <xdr:cNvSpPr>
          <a:spLocks/>
        </xdr:cNvSpPr>
      </xdr:nvSpPr>
      <xdr:spPr>
        <a:xfrm>
          <a:off x="2619375" y="3600450"/>
          <a:ext cx="3400425" cy="171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0</xdr:rowOff>
    </xdr:from>
    <xdr:to>
      <xdr:col>6</xdr:col>
      <xdr:colOff>9525</xdr:colOff>
      <xdr:row>17</xdr:row>
      <xdr:rowOff>0</xdr:rowOff>
    </xdr:to>
    <xdr:sp>
      <xdr:nvSpPr>
        <xdr:cNvPr id="27" name="Rectangle 46"/>
        <xdr:cNvSpPr>
          <a:spLocks/>
        </xdr:cNvSpPr>
      </xdr:nvSpPr>
      <xdr:spPr>
        <a:xfrm>
          <a:off x="3362325" y="3105150"/>
          <a:ext cx="127635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14</xdr:row>
      <xdr:rowOff>0</xdr:rowOff>
    </xdr:from>
    <xdr:to>
      <xdr:col>5</xdr:col>
      <xdr:colOff>390525</xdr:colOff>
      <xdr:row>14</xdr:row>
      <xdr:rowOff>0</xdr:rowOff>
    </xdr:to>
    <xdr:sp>
      <xdr:nvSpPr>
        <xdr:cNvPr id="28" name="Line 47"/>
        <xdr:cNvSpPr>
          <a:spLocks/>
        </xdr:cNvSpPr>
      </xdr:nvSpPr>
      <xdr:spPr>
        <a:xfrm>
          <a:off x="3667125" y="2781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14</xdr:row>
      <xdr:rowOff>0</xdr:rowOff>
    </xdr:from>
    <xdr:to>
      <xdr:col>5</xdr:col>
      <xdr:colOff>409575</xdr:colOff>
      <xdr:row>16</xdr:row>
      <xdr:rowOff>28575</xdr:rowOff>
    </xdr:to>
    <xdr:sp>
      <xdr:nvSpPr>
        <xdr:cNvPr id="29" name="Line 48"/>
        <xdr:cNvSpPr>
          <a:spLocks/>
        </xdr:cNvSpPr>
      </xdr:nvSpPr>
      <xdr:spPr>
        <a:xfrm>
          <a:off x="4257675" y="2781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9525</xdr:rowOff>
    </xdr:to>
    <xdr:sp>
      <xdr:nvSpPr>
        <xdr:cNvPr id="30" name="Line 52"/>
        <xdr:cNvSpPr>
          <a:spLocks/>
        </xdr:cNvSpPr>
      </xdr:nvSpPr>
      <xdr:spPr>
        <a:xfrm>
          <a:off x="3048000" y="1466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32</xdr:row>
      <xdr:rowOff>85725</xdr:rowOff>
    </xdr:from>
    <xdr:to>
      <xdr:col>7</xdr:col>
      <xdr:colOff>257175</xdr:colOff>
      <xdr:row>32</xdr:row>
      <xdr:rowOff>85725</xdr:rowOff>
    </xdr:to>
    <xdr:sp>
      <xdr:nvSpPr>
        <xdr:cNvPr id="31" name="Line 53"/>
        <xdr:cNvSpPr>
          <a:spLocks/>
        </xdr:cNvSpPr>
      </xdr:nvSpPr>
      <xdr:spPr>
        <a:xfrm>
          <a:off x="5153025" y="58197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85725</xdr:rowOff>
    </xdr:from>
    <xdr:to>
      <xdr:col>7</xdr:col>
      <xdr:colOff>266700</xdr:colOff>
      <xdr:row>35</xdr:row>
      <xdr:rowOff>152400</xdr:rowOff>
    </xdr:to>
    <xdr:sp>
      <xdr:nvSpPr>
        <xdr:cNvPr id="32" name="Line 54"/>
        <xdr:cNvSpPr>
          <a:spLocks/>
        </xdr:cNvSpPr>
      </xdr:nvSpPr>
      <xdr:spPr>
        <a:xfrm>
          <a:off x="6019800" y="58197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20</xdr:row>
      <xdr:rowOff>0</xdr:rowOff>
    </xdr:from>
    <xdr:to>
      <xdr:col>5</xdr:col>
      <xdr:colOff>390525</xdr:colOff>
      <xdr:row>22</xdr:row>
      <xdr:rowOff>0</xdr:rowOff>
    </xdr:to>
    <xdr:sp>
      <xdr:nvSpPr>
        <xdr:cNvPr id="33" name="Line 57"/>
        <xdr:cNvSpPr>
          <a:spLocks/>
        </xdr:cNvSpPr>
      </xdr:nvSpPr>
      <xdr:spPr>
        <a:xfrm>
          <a:off x="4238625" y="3762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43</xdr:row>
      <xdr:rowOff>9525</xdr:rowOff>
    </xdr:from>
    <xdr:to>
      <xdr:col>7</xdr:col>
      <xdr:colOff>295275</xdr:colOff>
      <xdr:row>44</xdr:row>
      <xdr:rowOff>0</xdr:rowOff>
    </xdr:to>
    <xdr:sp>
      <xdr:nvSpPr>
        <xdr:cNvPr id="34" name="Line 62"/>
        <xdr:cNvSpPr>
          <a:spLocks/>
        </xdr:cNvSpPr>
      </xdr:nvSpPr>
      <xdr:spPr>
        <a:xfrm>
          <a:off x="6048375" y="7553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95250</xdr:rowOff>
    </xdr:from>
    <xdr:to>
      <xdr:col>6</xdr:col>
      <xdr:colOff>619125</xdr:colOff>
      <xdr:row>59</xdr:row>
      <xdr:rowOff>85725</xdr:rowOff>
    </xdr:to>
    <xdr:sp>
      <xdr:nvSpPr>
        <xdr:cNvPr id="35" name="AutoShape 67"/>
        <xdr:cNvSpPr>
          <a:spLocks/>
        </xdr:cNvSpPr>
      </xdr:nvSpPr>
      <xdr:spPr>
        <a:xfrm>
          <a:off x="3971925" y="9782175"/>
          <a:ext cx="1276350" cy="476250"/>
        </a:xfrm>
        <a:prstGeom prst="diamond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57</xdr:row>
      <xdr:rowOff>85725</xdr:rowOff>
    </xdr:from>
    <xdr:to>
      <xdr:col>6</xdr:col>
      <xdr:colOff>552450</xdr:colOff>
      <xdr:row>58</xdr:row>
      <xdr:rowOff>123825</xdr:rowOff>
    </xdr:to>
    <xdr:sp>
      <xdr:nvSpPr>
        <xdr:cNvPr id="36" name="TextBox 68"/>
        <xdr:cNvSpPr txBox="1">
          <a:spLocks noChangeArrowheads="1"/>
        </xdr:cNvSpPr>
      </xdr:nvSpPr>
      <xdr:spPr>
        <a:xfrm>
          <a:off x="4143375" y="993457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DPv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£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DPc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?</a:t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5</xdr:col>
      <xdr:colOff>142875</xdr:colOff>
      <xdr:row>58</xdr:row>
      <xdr:rowOff>9525</xdr:rowOff>
    </xdr:to>
    <xdr:sp>
      <xdr:nvSpPr>
        <xdr:cNvPr id="37" name="Line 69"/>
        <xdr:cNvSpPr>
          <a:spLocks/>
        </xdr:cNvSpPr>
      </xdr:nvSpPr>
      <xdr:spPr>
        <a:xfrm flipH="1">
          <a:off x="2286000" y="100203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58</xdr:row>
      <xdr:rowOff>9525</xdr:rowOff>
    </xdr:from>
    <xdr:to>
      <xdr:col>8</xdr:col>
      <xdr:colOff>409575</xdr:colOff>
      <xdr:row>58</xdr:row>
      <xdr:rowOff>9525</xdr:rowOff>
    </xdr:to>
    <xdr:sp>
      <xdr:nvSpPr>
        <xdr:cNvPr id="38" name="Line 70"/>
        <xdr:cNvSpPr>
          <a:spLocks/>
        </xdr:cNvSpPr>
      </xdr:nvSpPr>
      <xdr:spPr>
        <a:xfrm>
          <a:off x="5238750" y="100203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51</xdr:row>
      <xdr:rowOff>9525</xdr:rowOff>
    </xdr:from>
    <xdr:to>
      <xdr:col>7</xdr:col>
      <xdr:colOff>295275</xdr:colOff>
      <xdr:row>51</xdr:row>
      <xdr:rowOff>9525</xdr:rowOff>
    </xdr:to>
    <xdr:sp>
      <xdr:nvSpPr>
        <xdr:cNvPr id="39" name="Line 74"/>
        <xdr:cNvSpPr>
          <a:spLocks/>
        </xdr:cNvSpPr>
      </xdr:nvSpPr>
      <xdr:spPr>
        <a:xfrm>
          <a:off x="2628900" y="88868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9525</xdr:rowOff>
    </xdr:from>
    <xdr:to>
      <xdr:col>5</xdr:col>
      <xdr:colOff>752475</xdr:colOff>
      <xdr:row>56</xdr:row>
      <xdr:rowOff>123825</xdr:rowOff>
    </xdr:to>
    <xdr:sp>
      <xdr:nvSpPr>
        <xdr:cNvPr id="40" name="Line 76"/>
        <xdr:cNvSpPr>
          <a:spLocks/>
        </xdr:cNvSpPr>
      </xdr:nvSpPr>
      <xdr:spPr>
        <a:xfrm>
          <a:off x="4600575" y="937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60</xdr:row>
      <xdr:rowOff>0</xdr:rowOff>
    </xdr:to>
    <xdr:sp>
      <xdr:nvSpPr>
        <xdr:cNvPr id="41" name="Line 77"/>
        <xdr:cNvSpPr>
          <a:spLocks/>
        </xdr:cNvSpPr>
      </xdr:nvSpPr>
      <xdr:spPr>
        <a:xfrm>
          <a:off x="2286000" y="10020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58</xdr:row>
      <xdr:rowOff>9525</xdr:rowOff>
    </xdr:from>
    <xdr:to>
      <xdr:col>8</xdr:col>
      <xdr:colOff>409575</xdr:colOff>
      <xdr:row>60</xdr:row>
      <xdr:rowOff>0</xdr:rowOff>
    </xdr:to>
    <xdr:sp>
      <xdr:nvSpPr>
        <xdr:cNvPr id="42" name="Line 78"/>
        <xdr:cNvSpPr>
          <a:spLocks/>
        </xdr:cNvSpPr>
      </xdr:nvSpPr>
      <xdr:spPr>
        <a:xfrm>
          <a:off x="6924675" y="10020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9</xdr:col>
      <xdr:colOff>523875</xdr:colOff>
      <xdr:row>61</xdr:row>
      <xdr:rowOff>0</xdr:rowOff>
    </xdr:to>
    <xdr:sp>
      <xdr:nvSpPr>
        <xdr:cNvPr id="43" name="Rectangle 79"/>
        <xdr:cNvSpPr>
          <a:spLocks/>
        </xdr:cNvSpPr>
      </xdr:nvSpPr>
      <xdr:spPr>
        <a:xfrm>
          <a:off x="6048375" y="10344150"/>
          <a:ext cx="1752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142875</xdr:rowOff>
    </xdr:from>
    <xdr:to>
      <xdr:col>7</xdr:col>
      <xdr:colOff>9525</xdr:colOff>
      <xdr:row>63</xdr:row>
      <xdr:rowOff>0</xdr:rowOff>
    </xdr:to>
    <xdr:sp>
      <xdr:nvSpPr>
        <xdr:cNvPr id="44" name="Line 80"/>
        <xdr:cNvSpPr>
          <a:spLocks/>
        </xdr:cNvSpPr>
      </xdr:nvSpPr>
      <xdr:spPr>
        <a:xfrm>
          <a:off x="5762625" y="10658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45" name="Rectangle 81"/>
        <xdr:cNvSpPr>
          <a:spLocks/>
        </xdr:cNvSpPr>
      </xdr:nvSpPr>
      <xdr:spPr>
        <a:xfrm>
          <a:off x="990600" y="11687175"/>
          <a:ext cx="205740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68</xdr:row>
      <xdr:rowOff>0</xdr:rowOff>
    </xdr:to>
    <xdr:sp>
      <xdr:nvSpPr>
        <xdr:cNvPr id="46" name="Line 83"/>
        <xdr:cNvSpPr>
          <a:spLocks/>
        </xdr:cNvSpPr>
      </xdr:nvSpPr>
      <xdr:spPr>
        <a:xfrm>
          <a:off x="2286000" y="11344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71</xdr:row>
      <xdr:rowOff>0</xdr:rowOff>
    </xdr:from>
    <xdr:to>
      <xdr:col>6</xdr:col>
      <xdr:colOff>295275</xdr:colOff>
      <xdr:row>74</xdr:row>
      <xdr:rowOff>28575</xdr:rowOff>
    </xdr:to>
    <xdr:grpSp>
      <xdr:nvGrpSpPr>
        <xdr:cNvPr id="47" name="Group 87"/>
        <xdr:cNvGrpSpPr>
          <a:grpSpLocks/>
        </xdr:cNvGrpSpPr>
      </xdr:nvGrpSpPr>
      <xdr:grpSpPr>
        <a:xfrm>
          <a:off x="3571875" y="12172950"/>
          <a:ext cx="1352550" cy="523875"/>
          <a:chOff x="411" y="1136"/>
          <a:chExt cx="136" cy="58"/>
        </a:xfrm>
        <a:solidFill>
          <a:srgbClr val="FFFFFF"/>
        </a:solidFill>
      </xdr:grpSpPr>
      <xdr:sp>
        <xdr:nvSpPr>
          <xdr:cNvPr id="48" name="AutoShape 85"/>
          <xdr:cNvSpPr>
            <a:spLocks/>
          </xdr:cNvSpPr>
        </xdr:nvSpPr>
        <xdr:spPr>
          <a:xfrm>
            <a:off x="411" y="1136"/>
            <a:ext cx="136" cy="58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86"/>
          <xdr:cNvSpPr txBox="1">
            <a:spLocks noChangeArrowheads="1"/>
          </xdr:cNvSpPr>
        </xdr:nvSpPr>
        <xdr:spPr>
          <a:xfrm>
            <a:off x="437" y="1156"/>
            <a:ext cx="88" cy="19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connu ?</a:t>
            </a:r>
          </a:p>
        </xdr:txBody>
      </xdr:sp>
    </xdr:grp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0</xdr:rowOff>
    </xdr:to>
    <xdr:sp>
      <xdr:nvSpPr>
        <xdr:cNvPr id="50" name="Line 88"/>
        <xdr:cNvSpPr>
          <a:spLocks/>
        </xdr:cNvSpPr>
      </xdr:nvSpPr>
      <xdr:spPr>
        <a:xfrm>
          <a:off x="2286000" y="11849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1" name="Line 90"/>
        <xdr:cNvSpPr>
          <a:spLocks/>
        </xdr:cNvSpPr>
      </xdr:nvSpPr>
      <xdr:spPr>
        <a:xfrm flipV="1">
          <a:off x="2286000" y="120110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7</xdr:col>
      <xdr:colOff>0</xdr:colOff>
      <xdr:row>70</xdr:row>
      <xdr:rowOff>0</xdr:rowOff>
    </xdr:to>
    <xdr:sp>
      <xdr:nvSpPr>
        <xdr:cNvPr id="52" name="Line 91"/>
        <xdr:cNvSpPr>
          <a:spLocks/>
        </xdr:cNvSpPr>
      </xdr:nvSpPr>
      <xdr:spPr>
        <a:xfrm flipV="1">
          <a:off x="5753100" y="11696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70</xdr:row>
      <xdr:rowOff>0</xdr:rowOff>
    </xdr:from>
    <xdr:to>
      <xdr:col>5</xdr:col>
      <xdr:colOff>419100</xdr:colOff>
      <xdr:row>71</xdr:row>
      <xdr:rowOff>0</xdr:rowOff>
    </xdr:to>
    <xdr:sp>
      <xdr:nvSpPr>
        <xdr:cNvPr id="53" name="Line 92"/>
        <xdr:cNvSpPr>
          <a:spLocks/>
        </xdr:cNvSpPr>
      </xdr:nvSpPr>
      <xdr:spPr>
        <a:xfrm>
          <a:off x="4267200" y="12011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74</xdr:row>
      <xdr:rowOff>0</xdr:rowOff>
    </xdr:from>
    <xdr:to>
      <xdr:col>4</xdr:col>
      <xdr:colOff>371475</xdr:colOff>
      <xdr:row>75</xdr:row>
      <xdr:rowOff>0</xdr:rowOff>
    </xdr:to>
    <xdr:sp>
      <xdr:nvSpPr>
        <xdr:cNvPr id="54" name="Rectangle 93"/>
        <xdr:cNvSpPr>
          <a:spLocks/>
        </xdr:cNvSpPr>
      </xdr:nvSpPr>
      <xdr:spPr>
        <a:xfrm>
          <a:off x="428625" y="12668250"/>
          <a:ext cx="2990850" cy="171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72</xdr:row>
      <xdr:rowOff>85725</xdr:rowOff>
    </xdr:from>
    <xdr:to>
      <xdr:col>4</xdr:col>
      <xdr:colOff>523875</xdr:colOff>
      <xdr:row>72</xdr:row>
      <xdr:rowOff>85725</xdr:rowOff>
    </xdr:to>
    <xdr:sp>
      <xdr:nvSpPr>
        <xdr:cNvPr id="55" name="Line 94"/>
        <xdr:cNvSpPr>
          <a:spLocks/>
        </xdr:cNvSpPr>
      </xdr:nvSpPr>
      <xdr:spPr>
        <a:xfrm flipH="1">
          <a:off x="2676525" y="12420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72</xdr:row>
      <xdr:rowOff>85725</xdr:rowOff>
    </xdr:from>
    <xdr:to>
      <xdr:col>3</xdr:col>
      <xdr:colOff>390525</xdr:colOff>
      <xdr:row>74</xdr:row>
      <xdr:rowOff>0</xdr:rowOff>
    </xdr:to>
    <xdr:sp>
      <xdr:nvSpPr>
        <xdr:cNvPr id="56" name="Line 95"/>
        <xdr:cNvSpPr>
          <a:spLocks/>
        </xdr:cNvSpPr>
      </xdr:nvSpPr>
      <xdr:spPr>
        <a:xfrm>
          <a:off x="2676525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72</xdr:row>
      <xdr:rowOff>85725</xdr:rowOff>
    </xdr:from>
    <xdr:to>
      <xdr:col>7</xdr:col>
      <xdr:colOff>314325</xdr:colOff>
      <xdr:row>72</xdr:row>
      <xdr:rowOff>85725</xdr:rowOff>
    </xdr:to>
    <xdr:sp>
      <xdr:nvSpPr>
        <xdr:cNvPr id="57" name="Line 96"/>
        <xdr:cNvSpPr>
          <a:spLocks/>
        </xdr:cNvSpPr>
      </xdr:nvSpPr>
      <xdr:spPr>
        <a:xfrm>
          <a:off x="4933950" y="124206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72</xdr:row>
      <xdr:rowOff>85725</xdr:rowOff>
    </xdr:from>
    <xdr:to>
      <xdr:col>7</xdr:col>
      <xdr:colOff>314325</xdr:colOff>
      <xdr:row>74</xdr:row>
      <xdr:rowOff>0</xdr:rowOff>
    </xdr:to>
    <xdr:sp>
      <xdr:nvSpPr>
        <xdr:cNvPr id="58" name="Line 97"/>
        <xdr:cNvSpPr>
          <a:spLocks/>
        </xdr:cNvSpPr>
      </xdr:nvSpPr>
      <xdr:spPr>
        <a:xfrm>
          <a:off x="6067425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80</xdr:row>
      <xdr:rowOff>0</xdr:rowOff>
    </xdr:from>
    <xdr:to>
      <xdr:col>9</xdr:col>
      <xdr:colOff>390525</xdr:colOff>
      <xdr:row>81</xdr:row>
      <xdr:rowOff>38100</xdr:rowOff>
    </xdr:to>
    <xdr:sp>
      <xdr:nvSpPr>
        <xdr:cNvPr id="59" name="Rectangle 98"/>
        <xdr:cNvSpPr>
          <a:spLocks/>
        </xdr:cNvSpPr>
      </xdr:nvSpPr>
      <xdr:spPr>
        <a:xfrm>
          <a:off x="3971925" y="13649325"/>
          <a:ext cx="3695700" cy="2000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0</xdr:rowOff>
    </xdr:from>
    <xdr:to>
      <xdr:col>4</xdr:col>
      <xdr:colOff>409575</xdr:colOff>
      <xdr:row>78</xdr:row>
      <xdr:rowOff>0</xdr:rowOff>
    </xdr:to>
    <xdr:sp>
      <xdr:nvSpPr>
        <xdr:cNvPr id="60" name="Rectangle 99"/>
        <xdr:cNvSpPr>
          <a:spLocks/>
        </xdr:cNvSpPr>
      </xdr:nvSpPr>
      <xdr:spPr>
        <a:xfrm>
          <a:off x="1533525" y="13163550"/>
          <a:ext cx="192405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75</xdr:row>
      <xdr:rowOff>0</xdr:rowOff>
    </xdr:from>
    <xdr:to>
      <xdr:col>3</xdr:col>
      <xdr:colOff>381000</xdr:colOff>
      <xdr:row>77</xdr:row>
      <xdr:rowOff>0</xdr:rowOff>
    </xdr:to>
    <xdr:sp>
      <xdr:nvSpPr>
        <xdr:cNvPr id="61" name="Line 100"/>
        <xdr:cNvSpPr>
          <a:spLocks/>
        </xdr:cNvSpPr>
      </xdr:nvSpPr>
      <xdr:spPr>
        <a:xfrm>
          <a:off x="2667000" y="12839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75</xdr:row>
      <xdr:rowOff>0</xdr:rowOff>
    </xdr:from>
    <xdr:to>
      <xdr:col>7</xdr:col>
      <xdr:colOff>314325</xdr:colOff>
      <xdr:row>77</xdr:row>
      <xdr:rowOff>0</xdr:rowOff>
    </xdr:to>
    <xdr:sp>
      <xdr:nvSpPr>
        <xdr:cNvPr id="62" name="Line 101"/>
        <xdr:cNvSpPr>
          <a:spLocks/>
        </xdr:cNvSpPr>
      </xdr:nvSpPr>
      <xdr:spPr>
        <a:xfrm>
          <a:off x="6067425" y="12839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63</xdr:row>
      <xdr:rowOff>0</xdr:rowOff>
    </xdr:to>
    <xdr:sp>
      <xdr:nvSpPr>
        <xdr:cNvPr id="63" name="Line 102"/>
        <xdr:cNvSpPr>
          <a:spLocks/>
        </xdr:cNvSpPr>
      </xdr:nvSpPr>
      <xdr:spPr>
        <a:xfrm>
          <a:off x="2286000" y="10515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64" name="Line 104"/>
        <xdr:cNvSpPr>
          <a:spLocks/>
        </xdr:cNvSpPr>
      </xdr:nvSpPr>
      <xdr:spPr>
        <a:xfrm>
          <a:off x="5753100" y="1971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0</xdr:rowOff>
    </xdr:from>
    <xdr:to>
      <xdr:col>2</xdr:col>
      <xdr:colOff>466725</xdr:colOff>
      <xdr:row>21</xdr:row>
      <xdr:rowOff>0</xdr:rowOff>
    </xdr:to>
    <xdr:sp>
      <xdr:nvSpPr>
        <xdr:cNvPr id="65" name="Rectangle 105"/>
        <xdr:cNvSpPr>
          <a:spLocks/>
        </xdr:cNvSpPr>
      </xdr:nvSpPr>
      <xdr:spPr>
        <a:xfrm>
          <a:off x="542925" y="3762375"/>
          <a:ext cx="144780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19</xdr:row>
      <xdr:rowOff>0</xdr:rowOff>
    </xdr:from>
    <xdr:to>
      <xdr:col>1</xdr:col>
      <xdr:colOff>371475</xdr:colOff>
      <xdr:row>20</xdr:row>
      <xdr:rowOff>0</xdr:rowOff>
    </xdr:to>
    <xdr:sp>
      <xdr:nvSpPr>
        <xdr:cNvPr id="66" name="Line 106"/>
        <xdr:cNvSpPr>
          <a:spLocks/>
        </xdr:cNvSpPr>
      </xdr:nvSpPr>
      <xdr:spPr>
        <a:xfrm>
          <a:off x="1133475" y="3600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28</xdr:row>
      <xdr:rowOff>38100</xdr:rowOff>
    </xdr:from>
    <xdr:to>
      <xdr:col>5</xdr:col>
      <xdr:colOff>390525</xdr:colOff>
      <xdr:row>29</xdr:row>
      <xdr:rowOff>114300</xdr:rowOff>
    </xdr:to>
    <xdr:sp>
      <xdr:nvSpPr>
        <xdr:cNvPr id="67" name="Line 109"/>
        <xdr:cNvSpPr>
          <a:spLocks/>
        </xdr:cNvSpPr>
      </xdr:nvSpPr>
      <xdr:spPr>
        <a:xfrm>
          <a:off x="4238625" y="5114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>
      <xdr:nvSpPr>
        <xdr:cNvPr id="68" name="Line 113"/>
        <xdr:cNvSpPr>
          <a:spLocks/>
        </xdr:cNvSpPr>
      </xdr:nvSpPr>
      <xdr:spPr>
        <a:xfrm>
          <a:off x="5753100" y="1134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76200</xdr:rowOff>
    </xdr:from>
    <xdr:to>
      <xdr:col>6</xdr:col>
      <xdr:colOff>247650</xdr:colOff>
      <xdr:row>0</xdr:row>
      <xdr:rowOff>323850</xdr:rowOff>
    </xdr:to>
    <xdr:sp>
      <xdr:nvSpPr>
        <xdr:cNvPr id="69" name="TextBox 115"/>
        <xdr:cNvSpPr txBox="1">
          <a:spLocks noChangeArrowheads="1"/>
        </xdr:cNvSpPr>
      </xdr:nvSpPr>
      <xdr:spPr>
        <a:xfrm>
          <a:off x="2085975" y="76200"/>
          <a:ext cx="2790825" cy="2476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Calculs pour les liquides</a:t>
          </a:r>
        </a:p>
      </xdr:txBody>
    </xdr:sp>
    <xdr:clientData/>
  </xdr:twoCellAnchor>
  <xdr:twoCellAnchor>
    <xdr:from>
      <xdr:col>2</xdr:col>
      <xdr:colOff>257175</xdr:colOff>
      <xdr:row>39</xdr:row>
      <xdr:rowOff>152400</xdr:rowOff>
    </xdr:from>
    <xdr:to>
      <xdr:col>4</xdr:col>
      <xdr:colOff>600075</xdr:colOff>
      <xdr:row>42</xdr:row>
      <xdr:rowOff>152400</xdr:rowOff>
    </xdr:to>
    <xdr:grpSp>
      <xdr:nvGrpSpPr>
        <xdr:cNvPr id="70" name="Group 121"/>
        <xdr:cNvGrpSpPr>
          <a:grpSpLocks/>
        </xdr:cNvGrpSpPr>
      </xdr:nvGrpSpPr>
      <xdr:grpSpPr>
        <a:xfrm>
          <a:off x="1781175" y="7029450"/>
          <a:ext cx="1866900" cy="495300"/>
          <a:chOff x="107" y="755"/>
          <a:chExt cx="196" cy="52"/>
        </a:xfrm>
        <a:solidFill>
          <a:srgbClr val="FFFFFF"/>
        </a:solidFill>
      </xdr:grpSpPr>
      <xdr:sp>
        <xdr:nvSpPr>
          <xdr:cNvPr id="71" name="TextBox 22"/>
          <xdr:cNvSpPr txBox="1">
            <a:spLocks noChangeArrowheads="1"/>
          </xdr:cNvSpPr>
        </xdr:nvSpPr>
        <xdr:spPr>
          <a:xfrm>
            <a:off x="107" y="755"/>
            <a:ext cx="19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 Pv &lt; 0,5 * P1
      calcul simplifié possible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(évite de connaître P critique)</a:t>
            </a:r>
          </a:p>
        </xdr:txBody>
      </xdr:sp>
      <xdr:sp>
        <xdr:nvSpPr>
          <xdr:cNvPr id="72" name="AutoShape 119"/>
          <xdr:cNvSpPr>
            <a:spLocks/>
          </xdr:cNvSpPr>
        </xdr:nvSpPr>
        <xdr:spPr>
          <a:xfrm>
            <a:off x="116" y="777"/>
            <a:ext cx="16" cy="12"/>
          </a:xfrm>
          <a:prstGeom prst="rightArrow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46</xdr:row>
      <xdr:rowOff>0</xdr:rowOff>
    </xdr:from>
    <xdr:to>
      <xdr:col>7</xdr:col>
      <xdr:colOff>295275</xdr:colOff>
      <xdr:row>51</xdr:row>
      <xdr:rowOff>28575</xdr:rowOff>
    </xdr:to>
    <xdr:sp>
      <xdr:nvSpPr>
        <xdr:cNvPr id="73" name="Line 122"/>
        <xdr:cNvSpPr>
          <a:spLocks/>
        </xdr:cNvSpPr>
      </xdr:nvSpPr>
      <xdr:spPr>
        <a:xfrm>
          <a:off x="6048375" y="8048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9525</xdr:rowOff>
    </xdr:from>
    <xdr:to>
      <xdr:col>7</xdr:col>
      <xdr:colOff>276225</xdr:colOff>
      <xdr:row>38</xdr:row>
      <xdr:rowOff>9525</xdr:rowOff>
    </xdr:to>
    <xdr:sp>
      <xdr:nvSpPr>
        <xdr:cNvPr id="74" name="Line 123"/>
        <xdr:cNvSpPr>
          <a:spLocks/>
        </xdr:cNvSpPr>
      </xdr:nvSpPr>
      <xdr:spPr>
        <a:xfrm flipH="1">
          <a:off x="2628900" y="672465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39</xdr:row>
      <xdr:rowOff>76200</xdr:rowOff>
    </xdr:from>
    <xdr:to>
      <xdr:col>4</xdr:col>
      <xdr:colOff>619125</xdr:colOff>
      <xdr:row>43</xdr:row>
      <xdr:rowOff>66675</xdr:rowOff>
    </xdr:to>
    <xdr:sp>
      <xdr:nvSpPr>
        <xdr:cNvPr id="75" name="Rectangle 124"/>
        <xdr:cNvSpPr>
          <a:spLocks/>
        </xdr:cNvSpPr>
      </xdr:nvSpPr>
      <xdr:spPr>
        <a:xfrm>
          <a:off x="1685925" y="6953250"/>
          <a:ext cx="19812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9525</xdr:rowOff>
    </xdr:from>
    <xdr:to>
      <xdr:col>3</xdr:col>
      <xdr:colOff>342900</xdr:colOff>
      <xdr:row>39</xdr:row>
      <xdr:rowOff>76200</xdr:rowOff>
    </xdr:to>
    <xdr:sp>
      <xdr:nvSpPr>
        <xdr:cNvPr id="76" name="Line 125"/>
        <xdr:cNvSpPr>
          <a:spLocks/>
        </xdr:cNvSpPr>
      </xdr:nvSpPr>
      <xdr:spPr>
        <a:xfrm>
          <a:off x="2628900" y="6724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43</xdr:row>
      <xdr:rowOff>47625</xdr:rowOff>
    </xdr:from>
    <xdr:to>
      <xdr:col>3</xdr:col>
      <xdr:colOff>342900</xdr:colOff>
      <xdr:row>44</xdr:row>
      <xdr:rowOff>0</xdr:rowOff>
    </xdr:to>
    <xdr:sp>
      <xdr:nvSpPr>
        <xdr:cNvPr id="77" name="Line 128"/>
        <xdr:cNvSpPr>
          <a:spLocks/>
        </xdr:cNvSpPr>
      </xdr:nvSpPr>
      <xdr:spPr>
        <a:xfrm>
          <a:off x="2628900" y="7591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46</xdr:row>
      <xdr:rowOff>0</xdr:rowOff>
    </xdr:from>
    <xdr:to>
      <xdr:col>3</xdr:col>
      <xdr:colOff>342900</xdr:colOff>
      <xdr:row>48</xdr:row>
      <xdr:rowOff>0</xdr:rowOff>
    </xdr:to>
    <xdr:sp>
      <xdr:nvSpPr>
        <xdr:cNvPr id="78" name="Line 129"/>
        <xdr:cNvSpPr>
          <a:spLocks/>
        </xdr:cNvSpPr>
      </xdr:nvSpPr>
      <xdr:spPr>
        <a:xfrm>
          <a:off x="2628900" y="8048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50</xdr:row>
      <xdr:rowOff>0</xdr:rowOff>
    </xdr:from>
    <xdr:to>
      <xdr:col>3</xdr:col>
      <xdr:colOff>342900</xdr:colOff>
      <xdr:row>51</xdr:row>
      <xdr:rowOff>28575</xdr:rowOff>
    </xdr:to>
    <xdr:sp>
      <xdr:nvSpPr>
        <xdr:cNvPr id="79" name="Line 130"/>
        <xdr:cNvSpPr>
          <a:spLocks/>
        </xdr:cNvSpPr>
      </xdr:nvSpPr>
      <xdr:spPr>
        <a:xfrm>
          <a:off x="2628900" y="8715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51</xdr:row>
      <xdr:rowOff>9525</xdr:rowOff>
    </xdr:from>
    <xdr:to>
      <xdr:col>5</xdr:col>
      <xdr:colOff>752475</xdr:colOff>
      <xdr:row>52</xdr:row>
      <xdr:rowOff>0</xdr:rowOff>
    </xdr:to>
    <xdr:sp>
      <xdr:nvSpPr>
        <xdr:cNvPr id="80" name="Line 131"/>
        <xdr:cNvSpPr>
          <a:spLocks/>
        </xdr:cNvSpPr>
      </xdr:nvSpPr>
      <xdr:spPr>
        <a:xfrm>
          <a:off x="4600575" y="888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7</xdr:col>
      <xdr:colOff>9525</xdr:colOff>
      <xdr:row>65</xdr:row>
      <xdr:rowOff>0</xdr:rowOff>
    </xdr:to>
    <xdr:sp>
      <xdr:nvSpPr>
        <xdr:cNvPr id="81" name="Line 132"/>
        <xdr:cNvSpPr>
          <a:spLocks/>
        </xdr:cNvSpPr>
      </xdr:nvSpPr>
      <xdr:spPr>
        <a:xfrm>
          <a:off x="5762625" y="11010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123825</xdr:rowOff>
    </xdr:from>
    <xdr:to>
      <xdr:col>9</xdr:col>
      <xdr:colOff>752475</xdr:colOff>
      <xdr:row>61</xdr:row>
      <xdr:rowOff>123825</xdr:rowOff>
    </xdr:to>
    <xdr:sp>
      <xdr:nvSpPr>
        <xdr:cNvPr id="82" name="Line 133"/>
        <xdr:cNvSpPr>
          <a:spLocks/>
        </xdr:cNvSpPr>
      </xdr:nvSpPr>
      <xdr:spPr>
        <a:xfrm>
          <a:off x="5762625" y="106394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61</xdr:row>
      <xdr:rowOff>123825</xdr:rowOff>
    </xdr:from>
    <xdr:to>
      <xdr:col>9</xdr:col>
      <xdr:colOff>752475</xdr:colOff>
      <xdr:row>63</xdr:row>
      <xdr:rowOff>0</xdr:rowOff>
    </xdr:to>
    <xdr:sp>
      <xdr:nvSpPr>
        <xdr:cNvPr id="83" name="Line 134"/>
        <xdr:cNvSpPr>
          <a:spLocks/>
        </xdr:cNvSpPr>
      </xdr:nvSpPr>
      <xdr:spPr>
        <a:xfrm>
          <a:off x="8029575" y="10639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64</xdr:row>
      <xdr:rowOff>0</xdr:rowOff>
    </xdr:from>
    <xdr:to>
      <xdr:col>9</xdr:col>
      <xdr:colOff>752475</xdr:colOff>
      <xdr:row>64</xdr:row>
      <xdr:rowOff>161925</xdr:rowOff>
    </xdr:to>
    <xdr:sp>
      <xdr:nvSpPr>
        <xdr:cNvPr id="84" name="Line 135"/>
        <xdr:cNvSpPr>
          <a:spLocks/>
        </xdr:cNvSpPr>
      </xdr:nvSpPr>
      <xdr:spPr>
        <a:xfrm>
          <a:off x="8029575" y="11001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61</xdr:row>
      <xdr:rowOff>0</xdr:rowOff>
    </xdr:from>
    <xdr:to>
      <xdr:col>8</xdr:col>
      <xdr:colOff>390525</xdr:colOff>
      <xdr:row>61</xdr:row>
      <xdr:rowOff>123825</xdr:rowOff>
    </xdr:to>
    <xdr:sp>
      <xdr:nvSpPr>
        <xdr:cNvPr id="85" name="Line 137"/>
        <xdr:cNvSpPr>
          <a:spLocks/>
        </xdr:cNvSpPr>
      </xdr:nvSpPr>
      <xdr:spPr>
        <a:xfrm>
          <a:off x="6905625" y="10515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85725</xdr:rowOff>
    </xdr:from>
    <xdr:to>
      <xdr:col>8</xdr:col>
      <xdr:colOff>352425</xdr:colOff>
      <xdr:row>65</xdr:row>
      <xdr:rowOff>85725</xdr:rowOff>
    </xdr:to>
    <xdr:sp>
      <xdr:nvSpPr>
        <xdr:cNvPr id="86" name="Line 138"/>
        <xdr:cNvSpPr>
          <a:spLocks/>
        </xdr:cNvSpPr>
      </xdr:nvSpPr>
      <xdr:spPr>
        <a:xfrm>
          <a:off x="6515100" y="11258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65</xdr:row>
      <xdr:rowOff>85725</xdr:rowOff>
    </xdr:from>
    <xdr:to>
      <xdr:col>8</xdr:col>
      <xdr:colOff>352425</xdr:colOff>
      <xdr:row>70</xdr:row>
      <xdr:rowOff>9525</xdr:rowOff>
    </xdr:to>
    <xdr:sp>
      <xdr:nvSpPr>
        <xdr:cNvPr id="87" name="Line 139"/>
        <xdr:cNvSpPr>
          <a:spLocks/>
        </xdr:cNvSpPr>
      </xdr:nvSpPr>
      <xdr:spPr>
        <a:xfrm>
          <a:off x="6867525" y="112585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78</xdr:row>
      <xdr:rowOff>0</xdr:rowOff>
    </xdr:from>
    <xdr:to>
      <xdr:col>7</xdr:col>
      <xdr:colOff>314325</xdr:colOff>
      <xdr:row>80</xdr:row>
      <xdr:rowOff>0</xdr:rowOff>
    </xdr:to>
    <xdr:sp>
      <xdr:nvSpPr>
        <xdr:cNvPr id="88" name="Line 140"/>
        <xdr:cNvSpPr>
          <a:spLocks/>
        </xdr:cNvSpPr>
      </xdr:nvSpPr>
      <xdr:spPr>
        <a:xfrm>
          <a:off x="6067425" y="1332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89" name="Line 146"/>
        <xdr:cNvSpPr>
          <a:spLocks/>
        </xdr:cNvSpPr>
      </xdr:nvSpPr>
      <xdr:spPr>
        <a:xfrm>
          <a:off x="6019800" y="5819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34</xdr:row>
      <xdr:rowOff>0</xdr:rowOff>
    </xdr:from>
    <xdr:to>
      <xdr:col>9</xdr:col>
      <xdr:colOff>390525</xdr:colOff>
      <xdr:row>36</xdr:row>
      <xdr:rowOff>85725</xdr:rowOff>
    </xdr:to>
    <xdr:sp>
      <xdr:nvSpPr>
        <xdr:cNvPr id="90" name="Line 147"/>
        <xdr:cNvSpPr>
          <a:spLocks/>
        </xdr:cNvSpPr>
      </xdr:nvSpPr>
      <xdr:spPr>
        <a:xfrm>
          <a:off x="7667625" y="6057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85725</xdr:rowOff>
    </xdr:from>
    <xdr:to>
      <xdr:col>9</xdr:col>
      <xdr:colOff>390525</xdr:colOff>
      <xdr:row>36</xdr:row>
      <xdr:rowOff>85725</xdr:rowOff>
    </xdr:to>
    <xdr:sp>
      <xdr:nvSpPr>
        <xdr:cNvPr id="91" name="Line 148"/>
        <xdr:cNvSpPr>
          <a:spLocks/>
        </xdr:cNvSpPr>
      </xdr:nvSpPr>
      <xdr:spPr>
        <a:xfrm flipH="1">
          <a:off x="6524625" y="64770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35</xdr:row>
      <xdr:rowOff>0</xdr:rowOff>
    </xdr:from>
    <xdr:to>
      <xdr:col>1</xdr:col>
      <xdr:colOff>371475</xdr:colOff>
      <xdr:row>35</xdr:row>
      <xdr:rowOff>152400</xdr:rowOff>
    </xdr:to>
    <xdr:sp>
      <xdr:nvSpPr>
        <xdr:cNvPr id="92" name="Line 149"/>
        <xdr:cNvSpPr>
          <a:spLocks/>
        </xdr:cNvSpPr>
      </xdr:nvSpPr>
      <xdr:spPr>
        <a:xfrm>
          <a:off x="1133475" y="6229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</xdr:row>
      <xdr:rowOff>0</xdr:rowOff>
    </xdr:from>
    <xdr:to>
      <xdr:col>10</xdr:col>
      <xdr:colOff>447675</xdr:colOff>
      <xdr:row>4</xdr:row>
      <xdr:rowOff>9525</xdr:rowOff>
    </xdr:to>
    <xdr:sp>
      <xdr:nvSpPr>
        <xdr:cNvPr id="1" name="Rectangle 128"/>
        <xdr:cNvSpPr>
          <a:spLocks/>
        </xdr:cNvSpPr>
      </xdr:nvSpPr>
      <xdr:spPr>
        <a:xfrm>
          <a:off x="5857875" y="762000"/>
          <a:ext cx="22764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30</xdr:row>
      <xdr:rowOff>9525</xdr:rowOff>
    </xdr:from>
    <xdr:to>
      <xdr:col>6</xdr:col>
      <xdr:colOff>238125</xdr:colOff>
      <xdr:row>33</xdr:row>
      <xdr:rowOff>0</xdr:rowOff>
    </xdr:to>
    <xdr:grpSp>
      <xdr:nvGrpSpPr>
        <xdr:cNvPr id="2" name="Group 105"/>
        <xdr:cNvGrpSpPr>
          <a:grpSpLocks/>
        </xdr:cNvGrpSpPr>
      </xdr:nvGrpSpPr>
      <xdr:grpSpPr>
        <a:xfrm>
          <a:off x="3581400" y="5381625"/>
          <a:ext cx="1228725" cy="485775"/>
          <a:chOff x="376" y="517"/>
          <a:chExt cx="129" cy="50"/>
        </a:xfrm>
        <a:solidFill>
          <a:srgbClr val="FFFFFF"/>
        </a:solidFill>
      </xdr:grpSpPr>
      <xdr:sp>
        <xdr:nvSpPr>
          <xdr:cNvPr id="3" name="AutoShape 19"/>
          <xdr:cNvSpPr>
            <a:spLocks/>
          </xdr:cNvSpPr>
        </xdr:nvSpPr>
        <xdr:spPr>
          <a:xfrm>
            <a:off x="376" y="517"/>
            <a:ext cx="129" cy="50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0"/>
          <xdr:cNvSpPr txBox="1">
            <a:spLocks noChangeArrowheads="1"/>
          </xdr:cNvSpPr>
        </xdr:nvSpPr>
        <xdr:spPr>
          <a:xfrm>
            <a:off x="385" y="533"/>
            <a:ext cx="1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DPv  </a:t>
            </a:r>
            <a:r>
              <a:rPr lang="en-US" cap="none" sz="1000" b="1" i="0" u="none" baseline="0">
                <a:latin typeface="Symbol"/>
                <a:ea typeface="Symbol"/>
                <a:cs typeface="Symbol"/>
              </a:rPr>
              <a:t>£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DPc ?</a:t>
            </a:r>
          </a:p>
        </xdr:txBody>
      </xdr:sp>
    </xdr:grpSp>
    <xdr:clientData/>
  </xdr:twoCellAnchor>
  <xdr:twoCellAnchor>
    <xdr:from>
      <xdr:col>4</xdr:col>
      <xdr:colOff>0</xdr:colOff>
      <xdr:row>16</xdr:row>
      <xdr:rowOff>9525</xdr:rowOff>
    </xdr:from>
    <xdr:to>
      <xdr:col>4</xdr:col>
      <xdr:colOff>0</xdr:colOff>
      <xdr:row>18</xdr:row>
      <xdr:rowOff>57150</xdr:rowOff>
    </xdr:to>
    <xdr:sp>
      <xdr:nvSpPr>
        <xdr:cNvPr id="5" name="Line 22"/>
        <xdr:cNvSpPr>
          <a:spLocks/>
        </xdr:cNvSpPr>
      </xdr:nvSpPr>
      <xdr:spPr>
        <a:xfrm>
          <a:off x="3048000" y="3095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47625</xdr:rowOff>
    </xdr:from>
    <xdr:to>
      <xdr:col>4</xdr:col>
      <xdr:colOff>638175</xdr:colOff>
      <xdr:row>21</xdr:row>
      <xdr:rowOff>114300</xdr:rowOff>
    </xdr:to>
    <xdr:grpSp>
      <xdr:nvGrpSpPr>
        <xdr:cNvPr id="6" name="Group 116"/>
        <xdr:cNvGrpSpPr>
          <a:grpSpLocks/>
        </xdr:cNvGrpSpPr>
      </xdr:nvGrpSpPr>
      <xdr:grpSpPr>
        <a:xfrm>
          <a:off x="2390775" y="3457575"/>
          <a:ext cx="1295400" cy="552450"/>
          <a:chOff x="251" y="363"/>
          <a:chExt cx="136" cy="58"/>
        </a:xfrm>
        <a:solidFill>
          <a:srgbClr val="FFFFFF"/>
        </a:solidFill>
      </xdr:grpSpPr>
      <xdr:sp>
        <xdr:nvSpPr>
          <xdr:cNvPr id="7" name="AutoShape 24"/>
          <xdr:cNvSpPr>
            <a:spLocks/>
          </xdr:cNvSpPr>
        </xdr:nvSpPr>
        <xdr:spPr>
          <a:xfrm>
            <a:off x="251" y="363"/>
            <a:ext cx="136" cy="58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5"/>
          <xdr:cNvSpPr txBox="1">
            <a:spLocks noChangeArrowheads="1"/>
          </xdr:cNvSpPr>
        </xdr:nvSpPr>
        <xdr:spPr>
          <a:xfrm>
            <a:off x="277" y="383"/>
            <a:ext cx="88" cy="19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Xt connu ?</a:t>
            </a:r>
          </a:p>
        </xdr:txBody>
      </xdr:sp>
    </xdr:grp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114300</xdr:colOff>
      <xdr:row>20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1524000" y="3733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22</xdr:row>
      <xdr:rowOff>9525</xdr:rowOff>
    </xdr:to>
    <xdr:sp>
      <xdr:nvSpPr>
        <xdr:cNvPr id="10" name="Line 27"/>
        <xdr:cNvSpPr>
          <a:spLocks/>
        </xdr:cNvSpPr>
      </xdr:nvSpPr>
      <xdr:spPr>
        <a:xfrm>
          <a:off x="1524000" y="373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23</xdr:row>
      <xdr:rowOff>0</xdr:rowOff>
    </xdr:from>
    <xdr:to>
      <xdr:col>5</xdr:col>
      <xdr:colOff>390525</xdr:colOff>
      <xdr:row>25</xdr:row>
      <xdr:rowOff>0</xdr:rowOff>
    </xdr:to>
    <xdr:sp>
      <xdr:nvSpPr>
        <xdr:cNvPr id="11" name="Line 28"/>
        <xdr:cNvSpPr>
          <a:spLocks/>
        </xdr:cNvSpPr>
      </xdr:nvSpPr>
      <xdr:spPr>
        <a:xfrm>
          <a:off x="4200525" y="4219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0</xdr:rowOff>
    </xdr:from>
    <xdr:to>
      <xdr:col>7</xdr:col>
      <xdr:colOff>266700</xdr:colOff>
      <xdr:row>26</xdr:row>
      <xdr:rowOff>0</xdr:rowOff>
    </xdr:to>
    <xdr:sp>
      <xdr:nvSpPr>
        <xdr:cNvPr id="12" name="Rectangle 29"/>
        <xdr:cNvSpPr>
          <a:spLocks/>
        </xdr:cNvSpPr>
      </xdr:nvSpPr>
      <xdr:spPr>
        <a:xfrm>
          <a:off x="3343275" y="4543425"/>
          <a:ext cx="2257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0</xdr:rowOff>
    </xdr:from>
    <xdr:to>
      <xdr:col>6</xdr:col>
      <xdr:colOff>9525</xdr:colOff>
      <xdr:row>23</xdr:row>
      <xdr:rowOff>0</xdr:rowOff>
    </xdr:to>
    <xdr:sp>
      <xdr:nvSpPr>
        <xdr:cNvPr id="13" name="Rectangle 30"/>
        <xdr:cNvSpPr>
          <a:spLocks/>
        </xdr:cNvSpPr>
      </xdr:nvSpPr>
      <xdr:spPr>
        <a:xfrm>
          <a:off x="3343275" y="4057650"/>
          <a:ext cx="123825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14" name="Line 31"/>
        <xdr:cNvSpPr>
          <a:spLocks/>
        </xdr:cNvSpPr>
      </xdr:nvSpPr>
      <xdr:spPr>
        <a:xfrm>
          <a:off x="3667125" y="3733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20</xdr:row>
      <xdr:rowOff>0</xdr:rowOff>
    </xdr:from>
    <xdr:to>
      <xdr:col>5</xdr:col>
      <xdr:colOff>409575</xdr:colOff>
      <xdr:row>22</xdr:row>
      <xdr:rowOff>28575</xdr:rowOff>
    </xdr:to>
    <xdr:sp>
      <xdr:nvSpPr>
        <xdr:cNvPr id="15" name="Line 32"/>
        <xdr:cNvSpPr>
          <a:spLocks/>
        </xdr:cNvSpPr>
      </xdr:nvSpPr>
      <xdr:spPr>
        <a:xfrm>
          <a:off x="4219575" y="3733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6" name="Line 37"/>
        <xdr:cNvSpPr>
          <a:spLocks/>
        </xdr:cNvSpPr>
      </xdr:nvSpPr>
      <xdr:spPr>
        <a:xfrm>
          <a:off x="1524000" y="4705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27</xdr:row>
      <xdr:rowOff>0</xdr:rowOff>
    </xdr:from>
    <xdr:to>
      <xdr:col>7</xdr:col>
      <xdr:colOff>266700</xdr:colOff>
      <xdr:row>28</xdr:row>
      <xdr:rowOff>0</xdr:rowOff>
    </xdr:to>
    <xdr:sp>
      <xdr:nvSpPr>
        <xdr:cNvPr id="17" name="Rectangle 38"/>
        <xdr:cNvSpPr>
          <a:spLocks/>
        </xdr:cNvSpPr>
      </xdr:nvSpPr>
      <xdr:spPr>
        <a:xfrm>
          <a:off x="3352800" y="4876800"/>
          <a:ext cx="2247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0</xdr:rowOff>
    </xdr:from>
    <xdr:to>
      <xdr:col>5</xdr:col>
      <xdr:colOff>390525</xdr:colOff>
      <xdr:row>27</xdr:row>
      <xdr:rowOff>0</xdr:rowOff>
    </xdr:to>
    <xdr:sp>
      <xdr:nvSpPr>
        <xdr:cNvPr id="18" name="Line 39"/>
        <xdr:cNvSpPr>
          <a:spLocks/>
        </xdr:cNvSpPr>
      </xdr:nvSpPr>
      <xdr:spPr>
        <a:xfrm>
          <a:off x="4200525" y="4705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28</xdr:row>
      <xdr:rowOff>0</xdr:rowOff>
    </xdr:from>
    <xdr:to>
      <xdr:col>5</xdr:col>
      <xdr:colOff>390525</xdr:colOff>
      <xdr:row>30</xdr:row>
      <xdr:rowOff>9525</xdr:rowOff>
    </xdr:to>
    <xdr:sp>
      <xdr:nvSpPr>
        <xdr:cNvPr id="19" name="Line 40"/>
        <xdr:cNvSpPr>
          <a:spLocks/>
        </xdr:cNvSpPr>
      </xdr:nvSpPr>
      <xdr:spPr>
        <a:xfrm>
          <a:off x="4200525" y="5048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85725</xdr:rowOff>
    </xdr:from>
    <xdr:to>
      <xdr:col>8</xdr:col>
      <xdr:colOff>9525</xdr:colOff>
      <xdr:row>31</xdr:row>
      <xdr:rowOff>85725</xdr:rowOff>
    </xdr:to>
    <xdr:sp>
      <xdr:nvSpPr>
        <xdr:cNvPr id="20" name="Line 41"/>
        <xdr:cNvSpPr>
          <a:spLocks/>
        </xdr:cNvSpPr>
      </xdr:nvSpPr>
      <xdr:spPr>
        <a:xfrm>
          <a:off x="4810125" y="5619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8</xdr:col>
      <xdr:colOff>9525</xdr:colOff>
      <xdr:row>33</xdr:row>
      <xdr:rowOff>0</xdr:rowOff>
    </xdr:to>
    <xdr:sp>
      <xdr:nvSpPr>
        <xdr:cNvPr id="21" name="Line 42"/>
        <xdr:cNvSpPr>
          <a:spLocks/>
        </xdr:cNvSpPr>
      </xdr:nvSpPr>
      <xdr:spPr>
        <a:xfrm>
          <a:off x="6105525" y="5619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7</xdr:row>
      <xdr:rowOff>142875</xdr:rowOff>
    </xdr:from>
    <xdr:to>
      <xdr:col>5</xdr:col>
      <xdr:colOff>190500</xdr:colOff>
      <xdr:row>13</xdr:row>
      <xdr:rowOff>19050</xdr:rowOff>
    </xdr:to>
    <xdr:grpSp>
      <xdr:nvGrpSpPr>
        <xdr:cNvPr id="22" name="Group 47"/>
        <xdr:cNvGrpSpPr>
          <a:grpSpLocks/>
        </xdr:cNvGrpSpPr>
      </xdr:nvGrpSpPr>
      <xdr:grpSpPr>
        <a:xfrm>
          <a:off x="2095500" y="1771650"/>
          <a:ext cx="1905000" cy="847725"/>
          <a:chOff x="259" y="123"/>
          <a:chExt cx="200" cy="89"/>
        </a:xfrm>
        <a:solidFill>
          <a:srgbClr val="FFFFFF"/>
        </a:solidFill>
      </xdr:grpSpPr>
      <xdr:sp>
        <xdr:nvSpPr>
          <xdr:cNvPr id="23" name="AutoShape 43"/>
          <xdr:cNvSpPr>
            <a:spLocks/>
          </xdr:cNvSpPr>
        </xdr:nvSpPr>
        <xdr:spPr>
          <a:xfrm>
            <a:off x="259" y="123"/>
            <a:ext cx="200" cy="89"/>
          </a:xfrm>
          <a:prstGeom prst="flowChartDecision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44"/>
          <xdr:cNvSpPr txBox="1">
            <a:spLocks noChangeArrowheads="1"/>
          </xdr:cNvSpPr>
        </xdr:nvSpPr>
        <xdr:spPr>
          <a:xfrm>
            <a:off x="269" y="140"/>
            <a:ext cx="182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Débit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aux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conditions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normales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connu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?</a:t>
            </a:r>
          </a:p>
        </xdr:txBody>
      </xdr:sp>
    </xdr:grpSp>
    <xdr:clientData/>
  </xdr:twoCellAnchor>
  <xdr:twoCellAnchor>
    <xdr:from>
      <xdr:col>5</xdr:col>
      <xdr:colOff>200025</xdr:colOff>
      <xdr:row>10</xdr:row>
      <xdr:rowOff>76200</xdr:rowOff>
    </xdr:from>
    <xdr:to>
      <xdr:col>7</xdr:col>
      <xdr:colOff>419100</xdr:colOff>
      <xdr:row>10</xdr:row>
      <xdr:rowOff>76200</xdr:rowOff>
    </xdr:to>
    <xdr:sp>
      <xdr:nvSpPr>
        <xdr:cNvPr id="25" name="Line 48"/>
        <xdr:cNvSpPr>
          <a:spLocks/>
        </xdr:cNvSpPr>
      </xdr:nvSpPr>
      <xdr:spPr>
        <a:xfrm>
          <a:off x="4010025" y="21907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76200</xdr:rowOff>
    </xdr:from>
    <xdr:to>
      <xdr:col>7</xdr:col>
      <xdr:colOff>419100</xdr:colOff>
      <xdr:row>12</xdr:row>
      <xdr:rowOff>0</xdr:rowOff>
    </xdr:to>
    <xdr:sp>
      <xdr:nvSpPr>
        <xdr:cNvPr id="26" name="Line 49"/>
        <xdr:cNvSpPr>
          <a:spLocks/>
        </xdr:cNvSpPr>
      </xdr:nvSpPr>
      <xdr:spPr>
        <a:xfrm>
          <a:off x="5753100" y="2190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0</xdr:rowOff>
    </xdr:from>
    <xdr:to>
      <xdr:col>5</xdr:col>
      <xdr:colOff>466725</xdr:colOff>
      <xdr:row>16</xdr:row>
      <xdr:rowOff>0</xdr:rowOff>
    </xdr:to>
    <xdr:sp>
      <xdr:nvSpPr>
        <xdr:cNvPr id="27" name="Rectangle 51"/>
        <xdr:cNvSpPr>
          <a:spLocks/>
        </xdr:cNvSpPr>
      </xdr:nvSpPr>
      <xdr:spPr>
        <a:xfrm>
          <a:off x="1285875" y="2924175"/>
          <a:ext cx="29908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28" name="Line 52"/>
        <xdr:cNvSpPr>
          <a:spLocks/>
        </xdr:cNvSpPr>
      </xdr:nvSpPr>
      <xdr:spPr>
        <a:xfrm>
          <a:off x="3048000" y="2609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39</xdr:row>
      <xdr:rowOff>0</xdr:rowOff>
    </xdr:from>
    <xdr:to>
      <xdr:col>10</xdr:col>
      <xdr:colOff>0</xdr:colOff>
      <xdr:row>43</xdr:row>
      <xdr:rowOff>0</xdr:rowOff>
    </xdr:to>
    <xdr:sp>
      <xdr:nvSpPr>
        <xdr:cNvPr id="29" name="Rectangle 53"/>
        <xdr:cNvSpPr>
          <a:spLocks/>
        </xdr:cNvSpPr>
      </xdr:nvSpPr>
      <xdr:spPr>
        <a:xfrm>
          <a:off x="5257800" y="6848475"/>
          <a:ext cx="2428875" cy="647700"/>
        </a:xfrm>
        <a:prstGeom prst="rect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40</xdr:row>
      <xdr:rowOff>0</xdr:rowOff>
    </xdr:from>
    <xdr:to>
      <xdr:col>8</xdr:col>
      <xdr:colOff>66675</xdr:colOff>
      <xdr:row>40</xdr:row>
      <xdr:rowOff>0</xdr:rowOff>
    </xdr:to>
    <xdr:sp>
      <xdr:nvSpPr>
        <xdr:cNvPr id="30" name="Line 54"/>
        <xdr:cNvSpPr>
          <a:spLocks/>
        </xdr:cNvSpPr>
      </xdr:nvSpPr>
      <xdr:spPr>
        <a:xfrm>
          <a:off x="5372100" y="7010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85725</xdr:rowOff>
    </xdr:from>
    <xdr:to>
      <xdr:col>4</xdr:col>
      <xdr:colOff>523875</xdr:colOff>
      <xdr:row>31</xdr:row>
      <xdr:rowOff>85725</xdr:rowOff>
    </xdr:to>
    <xdr:sp>
      <xdr:nvSpPr>
        <xdr:cNvPr id="31" name="Line 55"/>
        <xdr:cNvSpPr>
          <a:spLocks/>
        </xdr:cNvSpPr>
      </xdr:nvSpPr>
      <xdr:spPr>
        <a:xfrm flipH="1">
          <a:off x="1552575" y="56197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85725</xdr:rowOff>
    </xdr:from>
    <xdr:to>
      <xdr:col>2</xdr:col>
      <xdr:colOff>28575</xdr:colOff>
      <xdr:row>33</xdr:row>
      <xdr:rowOff>0</xdr:rowOff>
    </xdr:to>
    <xdr:sp>
      <xdr:nvSpPr>
        <xdr:cNvPr id="32" name="Line 56"/>
        <xdr:cNvSpPr>
          <a:spLocks/>
        </xdr:cNvSpPr>
      </xdr:nvSpPr>
      <xdr:spPr>
        <a:xfrm>
          <a:off x="1552575" y="5619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0</xdr:rowOff>
    </xdr:from>
    <xdr:to>
      <xdr:col>8</xdr:col>
      <xdr:colOff>28575</xdr:colOff>
      <xdr:row>39</xdr:row>
      <xdr:rowOff>0</xdr:rowOff>
    </xdr:to>
    <xdr:sp>
      <xdr:nvSpPr>
        <xdr:cNvPr id="33" name="Line 57"/>
        <xdr:cNvSpPr>
          <a:spLocks/>
        </xdr:cNvSpPr>
      </xdr:nvSpPr>
      <xdr:spPr>
        <a:xfrm>
          <a:off x="6124575" y="6686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46</xdr:row>
      <xdr:rowOff>0</xdr:rowOff>
    </xdr:from>
    <xdr:to>
      <xdr:col>6</xdr:col>
      <xdr:colOff>295275</xdr:colOff>
      <xdr:row>49</xdr:row>
      <xdr:rowOff>28575</xdr:rowOff>
    </xdr:to>
    <xdr:grpSp>
      <xdr:nvGrpSpPr>
        <xdr:cNvPr id="34" name="Group 71"/>
        <xdr:cNvGrpSpPr>
          <a:grpSpLocks/>
        </xdr:cNvGrpSpPr>
      </xdr:nvGrpSpPr>
      <xdr:grpSpPr>
        <a:xfrm>
          <a:off x="3571875" y="7981950"/>
          <a:ext cx="1295400" cy="523875"/>
          <a:chOff x="411" y="1136"/>
          <a:chExt cx="136" cy="58"/>
        </a:xfrm>
        <a:solidFill>
          <a:srgbClr val="FFFFFF"/>
        </a:solidFill>
      </xdr:grpSpPr>
      <xdr:sp>
        <xdr:nvSpPr>
          <xdr:cNvPr id="35" name="AutoShape 72"/>
          <xdr:cNvSpPr>
            <a:spLocks/>
          </xdr:cNvSpPr>
        </xdr:nvSpPr>
        <xdr:spPr>
          <a:xfrm>
            <a:off x="411" y="1136"/>
            <a:ext cx="136" cy="58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73"/>
          <xdr:cNvSpPr txBox="1">
            <a:spLocks noChangeArrowheads="1"/>
          </xdr:cNvSpPr>
        </xdr:nvSpPr>
        <xdr:spPr>
          <a:xfrm>
            <a:off x="437" y="1156"/>
            <a:ext cx="88" cy="19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connu ?</a:t>
            </a:r>
          </a:p>
        </xdr:txBody>
      </xdr:sp>
    </xdr:grpSp>
    <xdr:clientData/>
  </xdr:twoCellAnchor>
  <xdr:twoCellAnchor>
    <xdr:from>
      <xdr:col>5</xdr:col>
      <xdr:colOff>419100</xdr:colOff>
      <xdr:row>45</xdr:row>
      <xdr:rowOff>0</xdr:rowOff>
    </xdr:from>
    <xdr:to>
      <xdr:col>5</xdr:col>
      <xdr:colOff>419100</xdr:colOff>
      <xdr:row>46</xdr:row>
      <xdr:rowOff>0</xdr:rowOff>
    </xdr:to>
    <xdr:sp>
      <xdr:nvSpPr>
        <xdr:cNvPr id="37" name="Line 74"/>
        <xdr:cNvSpPr>
          <a:spLocks/>
        </xdr:cNvSpPr>
      </xdr:nvSpPr>
      <xdr:spPr>
        <a:xfrm>
          <a:off x="4229100" y="7820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47</xdr:row>
      <xdr:rowOff>85725</xdr:rowOff>
    </xdr:from>
    <xdr:to>
      <xdr:col>4</xdr:col>
      <xdr:colOff>523875</xdr:colOff>
      <xdr:row>47</xdr:row>
      <xdr:rowOff>85725</xdr:rowOff>
    </xdr:to>
    <xdr:sp>
      <xdr:nvSpPr>
        <xdr:cNvPr id="38" name="Line 76"/>
        <xdr:cNvSpPr>
          <a:spLocks/>
        </xdr:cNvSpPr>
      </xdr:nvSpPr>
      <xdr:spPr>
        <a:xfrm flipH="1">
          <a:off x="2676525" y="8229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47</xdr:row>
      <xdr:rowOff>85725</xdr:rowOff>
    </xdr:from>
    <xdr:to>
      <xdr:col>3</xdr:col>
      <xdr:colOff>390525</xdr:colOff>
      <xdr:row>49</xdr:row>
      <xdr:rowOff>0</xdr:rowOff>
    </xdr:to>
    <xdr:sp>
      <xdr:nvSpPr>
        <xdr:cNvPr id="39" name="Line 77"/>
        <xdr:cNvSpPr>
          <a:spLocks/>
        </xdr:cNvSpPr>
      </xdr:nvSpPr>
      <xdr:spPr>
        <a:xfrm>
          <a:off x="2676525" y="8229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85725</xdr:rowOff>
    </xdr:from>
    <xdr:to>
      <xdr:col>7</xdr:col>
      <xdr:colOff>314325</xdr:colOff>
      <xdr:row>47</xdr:row>
      <xdr:rowOff>85725</xdr:rowOff>
    </xdr:to>
    <xdr:sp>
      <xdr:nvSpPr>
        <xdr:cNvPr id="40" name="Line 78"/>
        <xdr:cNvSpPr>
          <a:spLocks/>
        </xdr:cNvSpPr>
      </xdr:nvSpPr>
      <xdr:spPr>
        <a:xfrm>
          <a:off x="4876800" y="8229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46</xdr:row>
      <xdr:rowOff>0</xdr:rowOff>
    </xdr:from>
    <xdr:to>
      <xdr:col>6</xdr:col>
      <xdr:colOff>295275</xdr:colOff>
      <xdr:row>49</xdr:row>
      <xdr:rowOff>28575</xdr:rowOff>
    </xdr:to>
    <xdr:grpSp>
      <xdr:nvGrpSpPr>
        <xdr:cNvPr id="41" name="Group 107"/>
        <xdr:cNvGrpSpPr>
          <a:grpSpLocks/>
        </xdr:cNvGrpSpPr>
      </xdr:nvGrpSpPr>
      <xdr:grpSpPr>
        <a:xfrm>
          <a:off x="3571875" y="7981950"/>
          <a:ext cx="1295400" cy="523875"/>
          <a:chOff x="375" y="790"/>
          <a:chExt cx="136" cy="55"/>
        </a:xfrm>
        <a:solidFill>
          <a:srgbClr val="FFFFFF"/>
        </a:solidFill>
      </xdr:grpSpPr>
      <xdr:sp>
        <xdr:nvSpPr>
          <xdr:cNvPr id="42" name="AutoShape 85"/>
          <xdr:cNvSpPr>
            <a:spLocks/>
          </xdr:cNvSpPr>
        </xdr:nvSpPr>
        <xdr:spPr>
          <a:xfrm>
            <a:off x="375" y="790"/>
            <a:ext cx="136" cy="55"/>
          </a:xfrm>
          <a:prstGeom prst="diamond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86"/>
          <xdr:cNvSpPr txBox="1">
            <a:spLocks noChangeArrowheads="1"/>
          </xdr:cNvSpPr>
        </xdr:nvSpPr>
        <xdr:spPr>
          <a:xfrm>
            <a:off x="401" y="807"/>
            <a:ext cx="88" cy="18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 connu ?</a:t>
            </a:r>
          </a:p>
        </xdr:txBody>
      </xdr:sp>
    </xdr:grpSp>
    <xdr:clientData/>
  </xdr:twoCellAnchor>
  <xdr:twoCellAnchor>
    <xdr:from>
      <xdr:col>5</xdr:col>
      <xdr:colOff>419100</xdr:colOff>
      <xdr:row>44</xdr:row>
      <xdr:rowOff>76200</xdr:rowOff>
    </xdr:from>
    <xdr:to>
      <xdr:col>5</xdr:col>
      <xdr:colOff>419100</xdr:colOff>
      <xdr:row>46</xdr:row>
      <xdr:rowOff>0</xdr:rowOff>
    </xdr:to>
    <xdr:sp>
      <xdr:nvSpPr>
        <xdr:cNvPr id="44" name="Line 87"/>
        <xdr:cNvSpPr>
          <a:spLocks/>
        </xdr:cNvSpPr>
      </xdr:nvSpPr>
      <xdr:spPr>
        <a:xfrm>
          <a:off x="4229100" y="7734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47</xdr:row>
      <xdr:rowOff>85725</xdr:rowOff>
    </xdr:from>
    <xdr:to>
      <xdr:col>4</xdr:col>
      <xdr:colOff>523875</xdr:colOff>
      <xdr:row>47</xdr:row>
      <xdr:rowOff>85725</xdr:rowOff>
    </xdr:to>
    <xdr:sp>
      <xdr:nvSpPr>
        <xdr:cNvPr id="45" name="Line 89"/>
        <xdr:cNvSpPr>
          <a:spLocks/>
        </xdr:cNvSpPr>
      </xdr:nvSpPr>
      <xdr:spPr>
        <a:xfrm flipH="1">
          <a:off x="2676525" y="8229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47</xdr:row>
      <xdr:rowOff>85725</xdr:rowOff>
    </xdr:from>
    <xdr:to>
      <xdr:col>3</xdr:col>
      <xdr:colOff>390525</xdr:colOff>
      <xdr:row>49</xdr:row>
      <xdr:rowOff>0</xdr:rowOff>
    </xdr:to>
    <xdr:sp>
      <xdr:nvSpPr>
        <xdr:cNvPr id="46" name="Line 90"/>
        <xdr:cNvSpPr>
          <a:spLocks/>
        </xdr:cNvSpPr>
      </xdr:nvSpPr>
      <xdr:spPr>
        <a:xfrm>
          <a:off x="2676525" y="8229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85725</xdr:rowOff>
    </xdr:from>
    <xdr:to>
      <xdr:col>8</xdr:col>
      <xdr:colOff>0</xdr:colOff>
      <xdr:row>47</xdr:row>
      <xdr:rowOff>85725</xdr:rowOff>
    </xdr:to>
    <xdr:sp>
      <xdr:nvSpPr>
        <xdr:cNvPr id="47" name="Line 91"/>
        <xdr:cNvSpPr>
          <a:spLocks/>
        </xdr:cNvSpPr>
      </xdr:nvSpPr>
      <xdr:spPr>
        <a:xfrm>
          <a:off x="4876800" y="822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85725</xdr:rowOff>
    </xdr:from>
    <xdr:to>
      <xdr:col>8</xdr:col>
      <xdr:colOff>0</xdr:colOff>
      <xdr:row>49</xdr:row>
      <xdr:rowOff>0</xdr:rowOff>
    </xdr:to>
    <xdr:sp>
      <xdr:nvSpPr>
        <xdr:cNvPr id="48" name="Line 92"/>
        <xdr:cNvSpPr>
          <a:spLocks/>
        </xdr:cNvSpPr>
      </xdr:nvSpPr>
      <xdr:spPr>
        <a:xfrm>
          <a:off x="6096000" y="8229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52</xdr:row>
      <xdr:rowOff>0</xdr:rowOff>
    </xdr:to>
    <xdr:sp>
      <xdr:nvSpPr>
        <xdr:cNvPr id="49" name="Line 96"/>
        <xdr:cNvSpPr>
          <a:spLocks/>
        </xdr:cNvSpPr>
      </xdr:nvSpPr>
      <xdr:spPr>
        <a:xfrm>
          <a:off x="6096000" y="8648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50" name="Line 97"/>
        <xdr:cNvSpPr>
          <a:spLocks/>
        </xdr:cNvSpPr>
      </xdr:nvSpPr>
      <xdr:spPr>
        <a:xfrm>
          <a:off x="1524000" y="6200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76200</xdr:rowOff>
    </xdr:from>
    <xdr:to>
      <xdr:col>8</xdr:col>
      <xdr:colOff>9525</xdr:colOff>
      <xdr:row>44</xdr:row>
      <xdr:rowOff>76200</xdr:rowOff>
    </xdr:to>
    <xdr:sp>
      <xdr:nvSpPr>
        <xdr:cNvPr id="51" name="Line 98"/>
        <xdr:cNvSpPr>
          <a:spLocks/>
        </xdr:cNvSpPr>
      </xdr:nvSpPr>
      <xdr:spPr>
        <a:xfrm>
          <a:off x="1533525" y="77343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9525</xdr:colOff>
      <xdr:row>44</xdr:row>
      <xdr:rowOff>76200</xdr:rowOff>
    </xdr:to>
    <xdr:sp>
      <xdr:nvSpPr>
        <xdr:cNvPr id="52" name="Line 99"/>
        <xdr:cNvSpPr>
          <a:spLocks/>
        </xdr:cNvSpPr>
      </xdr:nvSpPr>
      <xdr:spPr>
        <a:xfrm flipV="1">
          <a:off x="1533525" y="73437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44</xdr:row>
      <xdr:rowOff>66675</xdr:rowOff>
    </xdr:to>
    <xdr:sp>
      <xdr:nvSpPr>
        <xdr:cNvPr id="53" name="Line 100"/>
        <xdr:cNvSpPr>
          <a:spLocks/>
        </xdr:cNvSpPr>
      </xdr:nvSpPr>
      <xdr:spPr>
        <a:xfrm flipV="1">
          <a:off x="6105525" y="7496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142875</xdr:rowOff>
    </xdr:to>
    <xdr:sp>
      <xdr:nvSpPr>
        <xdr:cNvPr id="54" name="Line 101"/>
        <xdr:cNvSpPr>
          <a:spLocks/>
        </xdr:cNvSpPr>
      </xdr:nvSpPr>
      <xdr:spPr>
        <a:xfrm>
          <a:off x="3048000" y="1466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52</xdr:row>
      <xdr:rowOff>0</xdr:rowOff>
    </xdr:from>
    <xdr:to>
      <xdr:col>3</xdr:col>
      <xdr:colOff>381000</xdr:colOff>
      <xdr:row>52</xdr:row>
      <xdr:rowOff>152400</xdr:rowOff>
    </xdr:to>
    <xdr:sp>
      <xdr:nvSpPr>
        <xdr:cNvPr id="55" name="Line 102"/>
        <xdr:cNvSpPr>
          <a:spLocks/>
        </xdr:cNvSpPr>
      </xdr:nvSpPr>
      <xdr:spPr>
        <a:xfrm>
          <a:off x="2667000" y="897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54</xdr:row>
      <xdr:rowOff>0</xdr:rowOff>
    </xdr:from>
    <xdr:to>
      <xdr:col>3</xdr:col>
      <xdr:colOff>371475</xdr:colOff>
      <xdr:row>54</xdr:row>
      <xdr:rowOff>161925</xdr:rowOff>
    </xdr:to>
    <xdr:sp>
      <xdr:nvSpPr>
        <xdr:cNvPr id="56" name="Line 103"/>
        <xdr:cNvSpPr>
          <a:spLocks/>
        </xdr:cNvSpPr>
      </xdr:nvSpPr>
      <xdr:spPr>
        <a:xfrm>
          <a:off x="2657475" y="9315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161925</xdr:rowOff>
    </xdr:to>
    <xdr:sp>
      <xdr:nvSpPr>
        <xdr:cNvPr id="57" name="Line 111"/>
        <xdr:cNvSpPr>
          <a:spLocks/>
        </xdr:cNvSpPr>
      </xdr:nvSpPr>
      <xdr:spPr>
        <a:xfrm>
          <a:off x="6096000" y="9144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85725</xdr:rowOff>
    </xdr:from>
    <xdr:to>
      <xdr:col>11</xdr:col>
      <xdr:colOff>419100</xdr:colOff>
      <xdr:row>37</xdr:row>
      <xdr:rowOff>85725</xdr:rowOff>
    </xdr:to>
    <xdr:sp>
      <xdr:nvSpPr>
        <xdr:cNvPr id="58" name="Line 112"/>
        <xdr:cNvSpPr>
          <a:spLocks/>
        </xdr:cNvSpPr>
      </xdr:nvSpPr>
      <xdr:spPr>
        <a:xfrm>
          <a:off x="7686675" y="66103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37</xdr:row>
      <xdr:rowOff>85725</xdr:rowOff>
    </xdr:from>
    <xdr:to>
      <xdr:col>11</xdr:col>
      <xdr:colOff>428625</xdr:colOff>
      <xdr:row>39</xdr:row>
      <xdr:rowOff>0</xdr:rowOff>
    </xdr:to>
    <xdr:sp>
      <xdr:nvSpPr>
        <xdr:cNvPr id="59" name="Line 113"/>
        <xdr:cNvSpPr>
          <a:spLocks/>
        </xdr:cNvSpPr>
      </xdr:nvSpPr>
      <xdr:spPr>
        <a:xfrm>
          <a:off x="887730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85725</xdr:rowOff>
    </xdr:from>
    <xdr:to>
      <xdr:col>6</xdr:col>
      <xdr:colOff>0</xdr:colOff>
      <xdr:row>15</xdr:row>
      <xdr:rowOff>85725</xdr:rowOff>
    </xdr:to>
    <xdr:sp>
      <xdr:nvSpPr>
        <xdr:cNvPr id="60" name="Line 120"/>
        <xdr:cNvSpPr>
          <a:spLocks/>
        </xdr:cNvSpPr>
      </xdr:nvSpPr>
      <xdr:spPr>
        <a:xfrm flipH="1">
          <a:off x="4276725" y="3009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22</xdr:row>
      <xdr:rowOff>85725</xdr:rowOff>
    </xdr:from>
    <xdr:to>
      <xdr:col>4</xdr:col>
      <xdr:colOff>285750</xdr:colOff>
      <xdr:row>27</xdr:row>
      <xdr:rowOff>85725</xdr:rowOff>
    </xdr:to>
    <xdr:sp>
      <xdr:nvSpPr>
        <xdr:cNvPr id="61" name="AutoShape 121"/>
        <xdr:cNvSpPr>
          <a:spLocks/>
        </xdr:cNvSpPr>
      </xdr:nvSpPr>
      <xdr:spPr>
        <a:xfrm flipV="1">
          <a:off x="2276475" y="4143375"/>
          <a:ext cx="1057275" cy="819150"/>
        </a:xfrm>
        <a:prstGeom prst="bentConnector3">
          <a:avLst>
            <a:gd name="adj1" fmla="val 50449"/>
            <a:gd name="adj2" fmla="val 605814"/>
            <a:gd name="adj3" fmla="val -2153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8</xdr:col>
      <xdr:colOff>419100</xdr:colOff>
      <xdr:row>22</xdr:row>
      <xdr:rowOff>76200</xdr:rowOff>
    </xdr:to>
    <xdr:sp>
      <xdr:nvSpPr>
        <xdr:cNvPr id="62" name="Line 123"/>
        <xdr:cNvSpPr>
          <a:spLocks/>
        </xdr:cNvSpPr>
      </xdr:nvSpPr>
      <xdr:spPr>
        <a:xfrm flipH="1">
          <a:off x="4581525" y="4133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22</xdr:row>
      <xdr:rowOff>0</xdr:rowOff>
    </xdr:from>
    <xdr:to>
      <xdr:col>8</xdr:col>
      <xdr:colOff>419100</xdr:colOff>
      <xdr:row>22</xdr:row>
      <xdr:rowOff>76200</xdr:rowOff>
    </xdr:to>
    <xdr:sp>
      <xdr:nvSpPr>
        <xdr:cNvPr id="63" name="Line 124"/>
        <xdr:cNvSpPr>
          <a:spLocks/>
        </xdr:cNvSpPr>
      </xdr:nvSpPr>
      <xdr:spPr>
        <a:xfrm flipV="1">
          <a:off x="6515100" y="4057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0</xdr:rowOff>
    </xdr:from>
    <xdr:to>
      <xdr:col>13</xdr:col>
      <xdr:colOff>409575</xdr:colOff>
      <xdr:row>39</xdr:row>
      <xdr:rowOff>85725</xdr:rowOff>
    </xdr:to>
    <xdr:sp>
      <xdr:nvSpPr>
        <xdr:cNvPr id="64" name="AutoShape 126"/>
        <xdr:cNvSpPr>
          <a:spLocks/>
        </xdr:cNvSpPr>
      </xdr:nvSpPr>
      <xdr:spPr>
        <a:xfrm rot="10800000" flipV="1">
          <a:off x="9982200" y="6686550"/>
          <a:ext cx="400050" cy="247650"/>
        </a:xfrm>
        <a:prstGeom prst="bentConnector3">
          <a:avLst>
            <a:gd name="adj1" fmla="val 0"/>
            <a:gd name="adj2" fmla="val 2700000"/>
            <a:gd name="adj3" fmla="val -259523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0</xdr:rowOff>
    </xdr:from>
    <xdr:to>
      <xdr:col>11</xdr:col>
      <xdr:colOff>504825</xdr:colOff>
      <xdr:row>16</xdr:row>
      <xdr:rowOff>104775</xdr:rowOff>
    </xdr:to>
    <xdr:sp>
      <xdr:nvSpPr>
        <xdr:cNvPr id="65" name="Line 127"/>
        <xdr:cNvSpPr>
          <a:spLocks/>
        </xdr:cNvSpPr>
      </xdr:nvSpPr>
      <xdr:spPr>
        <a:xfrm>
          <a:off x="8953500" y="381000"/>
          <a:ext cx="0" cy="2809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7</xdr:col>
      <xdr:colOff>523875</xdr:colOff>
      <xdr:row>3</xdr:row>
      <xdr:rowOff>85725</xdr:rowOff>
    </xdr:to>
    <xdr:sp>
      <xdr:nvSpPr>
        <xdr:cNvPr id="66" name="Line 129"/>
        <xdr:cNvSpPr>
          <a:spLocks/>
        </xdr:cNvSpPr>
      </xdr:nvSpPr>
      <xdr:spPr>
        <a:xfrm flipH="1">
          <a:off x="5343525" y="1057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6</xdr:row>
      <xdr:rowOff>0</xdr:rowOff>
    </xdr:from>
    <xdr:to>
      <xdr:col>3</xdr:col>
      <xdr:colOff>752475</xdr:colOff>
      <xdr:row>8</xdr:row>
      <xdr:rowOff>0</xdr:rowOff>
    </xdr:to>
    <xdr:sp>
      <xdr:nvSpPr>
        <xdr:cNvPr id="1" name="Line 36"/>
        <xdr:cNvSpPr>
          <a:spLocks/>
        </xdr:cNvSpPr>
      </xdr:nvSpPr>
      <xdr:spPr>
        <a:xfrm flipH="1">
          <a:off x="2162175" y="1400175"/>
          <a:ext cx="876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6</xdr:row>
      <xdr:rowOff>0</xdr:rowOff>
    </xdr:from>
    <xdr:to>
      <xdr:col>5</xdr:col>
      <xdr:colOff>485775</xdr:colOff>
      <xdr:row>7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3038475" y="1400175"/>
          <a:ext cx="1257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85725</xdr:rowOff>
    </xdr:from>
    <xdr:to>
      <xdr:col>3</xdr:col>
      <xdr:colOff>714375</xdr:colOff>
      <xdr:row>18</xdr:row>
      <xdr:rowOff>85725</xdr:rowOff>
    </xdr:to>
    <xdr:sp>
      <xdr:nvSpPr>
        <xdr:cNvPr id="3" name="Line 39"/>
        <xdr:cNvSpPr>
          <a:spLocks/>
        </xdr:cNvSpPr>
      </xdr:nvSpPr>
      <xdr:spPr>
        <a:xfrm>
          <a:off x="2286000" y="3495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18</xdr:row>
      <xdr:rowOff>85725</xdr:rowOff>
    </xdr:from>
    <xdr:to>
      <xdr:col>3</xdr:col>
      <xdr:colOff>714375</xdr:colOff>
      <xdr:row>23</xdr:row>
      <xdr:rowOff>0</xdr:rowOff>
    </xdr:to>
    <xdr:sp>
      <xdr:nvSpPr>
        <xdr:cNvPr id="4" name="Line 40"/>
        <xdr:cNvSpPr>
          <a:spLocks/>
        </xdr:cNvSpPr>
      </xdr:nvSpPr>
      <xdr:spPr>
        <a:xfrm>
          <a:off x="3000375" y="34956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381000</xdr:colOff>
      <xdr:row>10</xdr:row>
      <xdr:rowOff>0</xdr:rowOff>
    </xdr:to>
    <xdr:sp>
      <xdr:nvSpPr>
        <xdr:cNvPr id="5" name="Line 41"/>
        <xdr:cNvSpPr>
          <a:spLocks/>
        </xdr:cNvSpPr>
      </xdr:nvSpPr>
      <xdr:spPr>
        <a:xfrm>
          <a:off x="1905000" y="1943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2</xdr:col>
      <xdr:colOff>381000</xdr:colOff>
      <xdr:row>12</xdr:row>
      <xdr:rowOff>0</xdr:rowOff>
    </xdr:to>
    <xdr:sp>
      <xdr:nvSpPr>
        <xdr:cNvPr id="6" name="Line 42"/>
        <xdr:cNvSpPr>
          <a:spLocks/>
        </xdr:cNvSpPr>
      </xdr:nvSpPr>
      <xdr:spPr>
        <a:xfrm>
          <a:off x="1905000" y="2266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</xdr:row>
      <xdr:rowOff>0</xdr:rowOff>
    </xdr:from>
    <xdr:to>
      <xdr:col>2</xdr:col>
      <xdr:colOff>371475</xdr:colOff>
      <xdr:row>18</xdr:row>
      <xdr:rowOff>0</xdr:rowOff>
    </xdr:to>
    <xdr:sp>
      <xdr:nvSpPr>
        <xdr:cNvPr id="7" name="Line 43"/>
        <xdr:cNvSpPr>
          <a:spLocks/>
        </xdr:cNvSpPr>
      </xdr:nvSpPr>
      <xdr:spPr>
        <a:xfrm>
          <a:off x="1895475" y="2752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161925</xdr:rowOff>
    </xdr:from>
    <xdr:to>
      <xdr:col>2</xdr:col>
      <xdr:colOff>371475</xdr:colOff>
      <xdr:row>20</xdr:row>
      <xdr:rowOff>161925</xdr:rowOff>
    </xdr:to>
    <xdr:sp>
      <xdr:nvSpPr>
        <xdr:cNvPr id="8" name="Line 44"/>
        <xdr:cNvSpPr>
          <a:spLocks/>
        </xdr:cNvSpPr>
      </xdr:nvSpPr>
      <xdr:spPr>
        <a:xfrm>
          <a:off x="1895475" y="357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0</xdr:rowOff>
    </xdr:from>
    <xdr:to>
      <xdr:col>7</xdr:col>
      <xdr:colOff>38100</xdr:colOff>
      <xdr:row>21</xdr:row>
      <xdr:rowOff>0</xdr:rowOff>
    </xdr:to>
    <xdr:sp>
      <xdr:nvSpPr>
        <xdr:cNvPr id="9" name="Line 45"/>
        <xdr:cNvSpPr>
          <a:spLocks/>
        </xdr:cNvSpPr>
      </xdr:nvSpPr>
      <xdr:spPr>
        <a:xfrm>
          <a:off x="5372100" y="3581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0</xdr:rowOff>
    </xdr:from>
    <xdr:to>
      <xdr:col>7</xdr:col>
      <xdr:colOff>38100</xdr:colOff>
      <xdr:row>18</xdr:row>
      <xdr:rowOff>0</xdr:rowOff>
    </xdr:to>
    <xdr:sp>
      <xdr:nvSpPr>
        <xdr:cNvPr id="10" name="Line 46"/>
        <xdr:cNvSpPr>
          <a:spLocks/>
        </xdr:cNvSpPr>
      </xdr:nvSpPr>
      <xdr:spPr>
        <a:xfrm>
          <a:off x="5372100" y="3076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0</xdr:rowOff>
    </xdr:from>
    <xdr:to>
      <xdr:col>7</xdr:col>
      <xdr:colOff>38100</xdr:colOff>
      <xdr:row>15</xdr:row>
      <xdr:rowOff>0</xdr:rowOff>
    </xdr:to>
    <xdr:sp>
      <xdr:nvSpPr>
        <xdr:cNvPr id="11" name="Line 47"/>
        <xdr:cNvSpPr>
          <a:spLocks/>
        </xdr:cNvSpPr>
      </xdr:nvSpPr>
      <xdr:spPr>
        <a:xfrm>
          <a:off x="537210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38100</xdr:colOff>
      <xdr:row>12</xdr:row>
      <xdr:rowOff>0</xdr:rowOff>
    </xdr:to>
    <xdr:sp>
      <xdr:nvSpPr>
        <xdr:cNvPr id="12" name="Line 48"/>
        <xdr:cNvSpPr>
          <a:spLocks/>
        </xdr:cNvSpPr>
      </xdr:nvSpPr>
      <xdr:spPr>
        <a:xfrm>
          <a:off x="5372100" y="2266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0</xdr:rowOff>
    </xdr:from>
    <xdr:to>
      <xdr:col>7</xdr:col>
      <xdr:colOff>38100</xdr:colOff>
      <xdr:row>10</xdr:row>
      <xdr:rowOff>0</xdr:rowOff>
    </xdr:to>
    <xdr:sp>
      <xdr:nvSpPr>
        <xdr:cNvPr id="13" name="Line 49"/>
        <xdr:cNvSpPr>
          <a:spLocks/>
        </xdr:cNvSpPr>
      </xdr:nvSpPr>
      <xdr:spPr>
        <a:xfrm>
          <a:off x="5372100" y="1943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85725</xdr:rowOff>
    </xdr:from>
    <xdr:to>
      <xdr:col>8</xdr:col>
      <xdr:colOff>723900</xdr:colOff>
      <xdr:row>18</xdr:row>
      <xdr:rowOff>85725</xdr:rowOff>
    </xdr:to>
    <xdr:sp>
      <xdr:nvSpPr>
        <xdr:cNvPr id="14" name="Line 50"/>
        <xdr:cNvSpPr>
          <a:spLocks/>
        </xdr:cNvSpPr>
      </xdr:nvSpPr>
      <xdr:spPr>
        <a:xfrm>
          <a:off x="6105525" y="3495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18</xdr:row>
      <xdr:rowOff>85725</xdr:rowOff>
    </xdr:from>
    <xdr:to>
      <xdr:col>8</xdr:col>
      <xdr:colOff>723900</xdr:colOff>
      <xdr:row>23</xdr:row>
      <xdr:rowOff>0</xdr:rowOff>
    </xdr:to>
    <xdr:sp>
      <xdr:nvSpPr>
        <xdr:cNvPr id="15" name="Line 51"/>
        <xdr:cNvSpPr>
          <a:spLocks/>
        </xdr:cNvSpPr>
      </xdr:nvSpPr>
      <xdr:spPr>
        <a:xfrm>
          <a:off x="6819900" y="34956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0</xdr:rowOff>
    </xdr:from>
    <xdr:to>
      <xdr:col>3</xdr:col>
      <xdr:colOff>371475</xdr:colOff>
      <xdr:row>28</xdr:row>
      <xdr:rowOff>161925</xdr:rowOff>
    </xdr:to>
    <xdr:sp>
      <xdr:nvSpPr>
        <xdr:cNvPr id="16" name="Line 54"/>
        <xdr:cNvSpPr>
          <a:spLocks/>
        </xdr:cNvSpPr>
      </xdr:nvSpPr>
      <xdr:spPr>
        <a:xfrm>
          <a:off x="2657475" y="4914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27</xdr:row>
      <xdr:rowOff>0</xdr:rowOff>
    </xdr:from>
    <xdr:to>
      <xdr:col>8</xdr:col>
      <xdr:colOff>752475</xdr:colOff>
      <xdr:row>29</xdr:row>
      <xdr:rowOff>0</xdr:rowOff>
    </xdr:to>
    <xdr:sp>
      <xdr:nvSpPr>
        <xdr:cNvPr id="17" name="Line 56"/>
        <xdr:cNvSpPr>
          <a:spLocks/>
        </xdr:cNvSpPr>
      </xdr:nvSpPr>
      <xdr:spPr>
        <a:xfrm>
          <a:off x="6848475" y="4914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25</xdr:row>
      <xdr:rowOff>0</xdr:rowOff>
    </xdr:from>
    <xdr:to>
      <xdr:col>3</xdr:col>
      <xdr:colOff>714375</xdr:colOff>
      <xdr:row>25</xdr:row>
      <xdr:rowOff>161925</xdr:rowOff>
    </xdr:to>
    <xdr:sp>
      <xdr:nvSpPr>
        <xdr:cNvPr id="18" name="Line 58"/>
        <xdr:cNvSpPr>
          <a:spLocks/>
        </xdr:cNvSpPr>
      </xdr:nvSpPr>
      <xdr:spPr>
        <a:xfrm>
          <a:off x="3000375" y="4572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25</xdr:row>
      <xdr:rowOff>9525</xdr:rowOff>
    </xdr:from>
    <xdr:to>
      <xdr:col>8</xdr:col>
      <xdr:colOff>733425</xdr:colOff>
      <xdr:row>26</xdr:row>
      <xdr:rowOff>0</xdr:rowOff>
    </xdr:to>
    <xdr:sp>
      <xdr:nvSpPr>
        <xdr:cNvPr id="19" name="Line 59"/>
        <xdr:cNvSpPr>
          <a:spLocks/>
        </xdr:cNvSpPr>
      </xdr:nvSpPr>
      <xdr:spPr>
        <a:xfrm>
          <a:off x="6829425" y="4581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sVanne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A"/>
      <sheetName val="Liquides"/>
      <sheetName val="Gaz"/>
      <sheetName val="Vapeur"/>
      <sheetName val="gamma"/>
      <sheetName val="Bruit hydro"/>
      <sheetName val="Caract"/>
      <sheetName val="Courbe saturation Vapeur"/>
    </sheetNames>
    <sheetDataSet>
      <sheetData sheetId="2">
        <row r="63">
          <cell r="E63">
            <v>16.666666666666668</v>
          </cell>
        </row>
        <row r="65">
          <cell r="G65">
            <v>0.6047390823778794</v>
          </cell>
        </row>
      </sheetData>
      <sheetData sheetId="5">
        <row r="16">
          <cell r="C1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eira.com/" TargetMode="External" /><Relationship Id="rId2" Type="http://schemas.openxmlformats.org/officeDocument/2006/relationships/hyperlink" Target="mailto:psigonnez.ira@arles.cci.fr" TargetMode="External" /><Relationship Id="rId3" Type="http://schemas.openxmlformats.org/officeDocument/2006/relationships/hyperlink" Target="http://www.poleira.com/" TargetMode="External" /><Relationship Id="rId4" Type="http://schemas.openxmlformats.org/officeDocument/2006/relationships/hyperlink" Target="mailto:contact@poleira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M29"/>
  <sheetViews>
    <sheetView showGridLines="0" workbookViewId="0" topLeftCell="A1">
      <selection activeCell="B6" sqref="B6"/>
    </sheetView>
  </sheetViews>
  <sheetFormatPr defaultColWidth="11.421875" defaultRowHeight="12.75"/>
  <cols>
    <col min="1" max="16384" width="11.421875" style="5" customWidth="1"/>
  </cols>
  <sheetData>
    <row r="1" spans="1:13" ht="15.75" customHeight="1">
      <c r="A1" s="6"/>
      <c r="B1" s="6"/>
      <c r="C1" s="7"/>
      <c r="D1" s="6"/>
      <c r="E1" s="7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6"/>
      <c r="B2" s="431" t="s">
        <v>98</v>
      </c>
      <c r="C2" s="432"/>
      <c r="D2" s="432"/>
      <c r="E2" s="432"/>
      <c r="F2" s="433"/>
      <c r="G2" s="6"/>
      <c r="H2" s="6"/>
      <c r="I2" s="6"/>
      <c r="J2" s="6"/>
      <c r="K2" s="6"/>
      <c r="L2" s="6"/>
      <c r="M2" s="6"/>
    </row>
    <row r="3" spans="1:13" ht="15" customHeight="1">
      <c r="A3" s="6"/>
      <c r="B3" s="6"/>
      <c r="C3" s="8"/>
      <c r="D3" s="8"/>
      <c r="E3" s="6"/>
      <c r="F3" s="6"/>
      <c r="G3" s="6"/>
      <c r="H3" s="6"/>
      <c r="I3" s="6"/>
      <c r="J3" s="6"/>
      <c r="K3" s="6"/>
      <c r="L3" s="6"/>
      <c r="M3" s="6"/>
    </row>
    <row r="4" spans="1:13" ht="15" customHeight="1">
      <c r="A4" s="6"/>
      <c r="B4" s="6"/>
      <c r="C4" s="8"/>
      <c r="D4" s="8" t="s">
        <v>99</v>
      </c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9"/>
      <c r="B5" s="6"/>
      <c r="C5" s="6"/>
      <c r="D5" s="8" t="s">
        <v>100</v>
      </c>
      <c r="E5" s="6"/>
      <c r="F5" s="6"/>
      <c r="G5" s="6"/>
      <c r="H5" s="6"/>
      <c r="I5" s="6"/>
      <c r="J5" s="6"/>
      <c r="K5" s="6"/>
      <c r="L5" s="6"/>
      <c r="M5" s="6"/>
    </row>
    <row r="6" spans="1:13" ht="15" customHeight="1">
      <c r="A6" s="6"/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 customHeight="1">
      <c r="A7" s="6"/>
      <c r="B7" s="6"/>
      <c r="C7" s="8"/>
      <c r="D7" s="8" t="s">
        <v>101</v>
      </c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9"/>
      <c r="B8" s="6"/>
      <c r="C8" s="6"/>
      <c r="D8" s="8" t="s">
        <v>102</v>
      </c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6"/>
      <c r="B9" s="6"/>
      <c r="C9" s="10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430" t="s">
        <v>103</v>
      </c>
      <c r="B10" s="430"/>
      <c r="C10" s="430"/>
      <c r="D10" s="430"/>
      <c r="E10" s="430"/>
      <c r="F10" s="430"/>
      <c r="G10" s="430"/>
      <c r="H10" s="6"/>
      <c r="I10" s="6"/>
      <c r="J10" s="6"/>
      <c r="K10" s="6"/>
      <c r="L10" s="6"/>
      <c r="M10" s="6"/>
    </row>
    <row r="11" spans="1:13" ht="15" customHeight="1">
      <c r="A11" s="9"/>
      <c r="B11" s="6"/>
      <c r="C11" s="340" t="s">
        <v>125</v>
      </c>
      <c r="D11" s="342" t="s">
        <v>124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9"/>
      <c r="B14" s="6"/>
      <c r="C14" s="6"/>
      <c r="D14" s="6"/>
      <c r="E14" s="6"/>
      <c r="F14" s="6"/>
      <c r="G14" s="283" t="s">
        <v>107</v>
      </c>
      <c r="H14" s="284"/>
      <c r="I14" s="284"/>
      <c r="J14" s="285"/>
      <c r="K14" s="6"/>
      <c r="L14" s="6"/>
      <c r="M14" s="6"/>
    </row>
    <row r="15" spans="1:13" ht="15" customHeight="1">
      <c r="A15" s="9"/>
      <c r="B15" s="6"/>
      <c r="C15" s="6"/>
      <c r="D15" s="6"/>
      <c r="E15" s="6"/>
      <c r="F15" s="6"/>
      <c r="G15" s="286" t="s">
        <v>120</v>
      </c>
      <c r="H15" s="287"/>
      <c r="I15" s="287"/>
      <c r="J15" s="288"/>
      <c r="K15" s="6"/>
      <c r="L15" s="6"/>
      <c r="M15" s="6"/>
    </row>
    <row r="16" spans="1:13" ht="15" customHeight="1">
      <c r="A16" s="9"/>
      <c r="B16" s="6"/>
      <c r="C16" s="6"/>
      <c r="D16" s="6"/>
      <c r="E16" s="6"/>
      <c r="F16" s="6"/>
      <c r="G16" s="286" t="s">
        <v>121</v>
      </c>
      <c r="H16" s="287"/>
      <c r="I16" s="287"/>
      <c r="J16" s="288"/>
      <c r="K16" s="6"/>
      <c r="L16" s="6"/>
      <c r="M16" s="6"/>
    </row>
    <row r="17" spans="1:13" ht="15" customHeight="1">
      <c r="A17" s="6"/>
      <c r="B17" s="6"/>
      <c r="C17" s="340" t="s">
        <v>127</v>
      </c>
      <c r="D17" s="343" t="s">
        <v>126</v>
      </c>
      <c r="E17" s="6"/>
      <c r="F17" s="6"/>
      <c r="G17" s="286" t="s">
        <v>122</v>
      </c>
      <c r="H17" s="287"/>
      <c r="I17" s="287"/>
      <c r="J17" s="288"/>
      <c r="K17" s="6"/>
      <c r="L17" s="6"/>
      <c r="M17" s="6"/>
    </row>
    <row r="18" spans="1:13" ht="15" customHeight="1">
      <c r="A18" s="9"/>
      <c r="B18" s="6"/>
      <c r="C18" s="340" t="s">
        <v>125</v>
      </c>
      <c r="D18" s="341" t="s">
        <v>104</v>
      </c>
      <c r="E18" s="6"/>
      <c r="F18" s="6"/>
      <c r="G18" s="289" t="s">
        <v>123</v>
      </c>
      <c r="H18" s="290"/>
      <c r="I18" s="290"/>
      <c r="J18" s="291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heetProtection password="EBC8" sheet="1" objects="1" scenarios="1"/>
  <mergeCells count="2">
    <mergeCell ref="A10:G10"/>
    <mergeCell ref="B2:F2"/>
  </mergeCells>
  <hyperlinks>
    <hyperlink ref="A10" r:id="rId1" display="http://www.poleira.com/"/>
    <hyperlink ref="D18" r:id="rId2" display="mailto:psigonnez.ira@arles.cci.fr"/>
    <hyperlink ref="C9:D9" r:id="rId3" display="http://www.poleira.com/"/>
    <hyperlink ref="D11" r:id="rId4" display="mailto:contact@poleira.com"/>
  </hyperlinks>
  <printOptions/>
  <pageMargins left="0.75" right="0.75" top="1" bottom="1" header="0.4921259845" footer="0.492125984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89"/>
  <sheetViews>
    <sheetView showGridLines="0" zoomScale="75" zoomScaleNormal="75" workbookViewId="0" topLeftCell="A46">
      <selection activeCell="I82" sqref="I82"/>
    </sheetView>
  </sheetViews>
  <sheetFormatPr defaultColWidth="11.421875" defaultRowHeight="12.75"/>
  <cols>
    <col min="5" max="5" width="12.00390625" style="0" customWidth="1"/>
    <col min="6" max="6" width="11.7109375" style="0" customWidth="1"/>
    <col min="7" max="7" width="16.8515625" style="0" customWidth="1"/>
    <col min="16" max="16" width="3.7109375" style="0" bestFit="1" customWidth="1"/>
  </cols>
  <sheetData>
    <row r="1" spans="1:17" ht="30" customHeight="1">
      <c r="A1" s="11"/>
      <c r="B1" s="11"/>
      <c r="C1" s="11"/>
      <c r="D1" s="11"/>
      <c r="E1" s="12"/>
      <c r="F1" s="1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" customHeight="1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6.5" thickBot="1">
      <c r="A3" s="14"/>
      <c r="B3" s="15" t="s">
        <v>45</v>
      </c>
      <c r="C3" s="11"/>
      <c r="D3" s="1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6" t="s">
        <v>3</v>
      </c>
      <c r="C4" s="292">
        <v>5</v>
      </c>
      <c r="D4" s="17" t="s">
        <v>12</v>
      </c>
      <c r="E4" s="18"/>
      <c r="F4" s="19" t="s">
        <v>13</v>
      </c>
      <c r="G4" s="294">
        <v>4.2</v>
      </c>
      <c r="H4" s="17" t="s">
        <v>62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20" t="s">
        <v>4</v>
      </c>
      <c r="C5" s="293">
        <v>1</v>
      </c>
      <c r="D5" s="22"/>
      <c r="E5" s="23"/>
      <c r="F5" s="24" t="s">
        <v>14</v>
      </c>
      <c r="G5" s="293">
        <v>1.05</v>
      </c>
      <c r="H5" s="22" t="s">
        <v>62</v>
      </c>
      <c r="I5" s="11"/>
      <c r="J5" s="11"/>
      <c r="K5" s="11"/>
      <c r="L5" s="11"/>
      <c r="M5" s="11"/>
      <c r="N5" s="11"/>
      <c r="O5" s="11"/>
      <c r="P5" s="11"/>
      <c r="Q5" s="11"/>
    </row>
    <row r="6" spans="1:17" ht="13.5" thickBot="1">
      <c r="A6" s="11"/>
      <c r="B6" s="25"/>
      <c r="C6" s="26"/>
      <c r="D6" s="27"/>
      <c r="E6" s="28"/>
      <c r="F6" s="29" t="s">
        <v>1</v>
      </c>
      <c r="G6" s="295">
        <v>0.2</v>
      </c>
      <c r="H6" s="27" t="s">
        <v>62</v>
      </c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31"/>
      <c r="C7" s="31"/>
      <c r="D7" s="31"/>
      <c r="E7" s="3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 thickBot="1">
      <c r="A8" s="11"/>
      <c r="B8" s="11"/>
      <c r="C8" s="11"/>
      <c r="D8" s="32"/>
      <c r="E8" s="11"/>
      <c r="F8" s="1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3.5" thickBot="1">
      <c r="A9" s="11"/>
      <c r="B9" s="11"/>
      <c r="C9" s="11"/>
      <c r="D9" s="11"/>
      <c r="E9" s="11"/>
      <c r="F9" s="11"/>
      <c r="G9" s="434" t="s">
        <v>17</v>
      </c>
      <c r="H9" s="435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33" t="s">
        <v>28</v>
      </c>
      <c r="E11" s="11"/>
      <c r="F11" s="11"/>
      <c r="G11" s="34" t="s">
        <v>46</v>
      </c>
      <c r="H11" s="35"/>
      <c r="I11" s="36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344"/>
      <c r="G12" s="37" t="s">
        <v>47</v>
      </c>
      <c r="H12" s="38"/>
      <c r="I12" s="39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4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41" t="s">
        <v>18</v>
      </c>
      <c r="D14" s="436"/>
      <c r="E14" s="436"/>
      <c r="F14" s="43" t="s">
        <v>5</v>
      </c>
      <c r="G14" s="11"/>
      <c r="H14" s="44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 customHeight="1" thickBot="1">
      <c r="A15" s="11"/>
      <c r="B15" s="11"/>
      <c r="C15" s="11"/>
      <c r="D15" s="11"/>
      <c r="E15" s="11"/>
      <c r="F15" s="3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/>
      <c r="B16" s="45" t="s">
        <v>10</v>
      </c>
      <c r="C16" s="17"/>
      <c r="D16" s="11"/>
      <c r="E16" s="11"/>
      <c r="F16" s="11"/>
      <c r="G16" s="11"/>
      <c r="H16" s="46"/>
      <c r="I16" s="47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23"/>
      <c r="B17" s="48" t="s">
        <v>19</v>
      </c>
      <c r="C17" s="22"/>
      <c r="D17" s="11"/>
      <c r="E17" s="49" t="s">
        <v>22</v>
      </c>
      <c r="F17" s="296">
        <v>0.788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 customHeight="1">
      <c r="A18" s="23"/>
      <c r="B18" s="48" t="s">
        <v>20</v>
      </c>
      <c r="C18" s="2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3.5" thickBot="1">
      <c r="A19" s="28"/>
      <c r="B19" s="30" t="s">
        <v>21</v>
      </c>
      <c r="C19" s="2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31"/>
      <c r="E20" s="31"/>
      <c r="F20" s="50" t="s">
        <v>31</v>
      </c>
      <c r="G20" s="395">
        <f>(press1-pressVap)*CoefDébCavit</f>
        <v>3.152</v>
      </c>
      <c r="H20" s="51" t="s">
        <v>11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42" t="s">
        <v>48</v>
      </c>
      <c r="C21" s="52">
        <f>(press1-press2)/(press1-pressVap)</f>
        <v>0.7875000000000001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 t="s">
        <v>29</v>
      </c>
      <c r="E23" s="53" t="s">
        <v>2</v>
      </c>
      <c r="F23" s="54">
        <f>press1-press2</f>
        <v>3.1500000000000004</v>
      </c>
      <c r="G23" s="55" t="s">
        <v>11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68" t="s">
        <v>30</v>
      </c>
      <c r="F24" s="21">
        <f>dpdc</f>
        <v>3.152</v>
      </c>
      <c r="G24" s="55" t="s">
        <v>11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3.5" thickBot="1">
      <c r="A26" s="11"/>
      <c r="B26" s="11"/>
      <c r="C26" s="11"/>
      <c r="D26" s="11"/>
      <c r="E26" s="11"/>
      <c r="F26" s="11"/>
      <c r="G26" s="97" t="s">
        <v>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56" t="s">
        <v>23</v>
      </c>
      <c r="J27" s="17"/>
      <c r="K27" s="11"/>
      <c r="L27" s="11"/>
      <c r="M27" s="11"/>
      <c r="N27" s="11"/>
      <c r="O27" s="11"/>
      <c r="P27" s="11"/>
      <c r="Q27" s="11"/>
    </row>
    <row r="28" spans="1:17" ht="13.5" thickBot="1">
      <c r="A28" s="11"/>
      <c r="B28" s="11"/>
      <c r="C28" s="11"/>
      <c r="D28" s="11"/>
      <c r="E28" s="11"/>
      <c r="F28" s="31"/>
      <c r="G28" s="11"/>
      <c r="H28" s="11"/>
      <c r="I28" s="57" t="s">
        <v>24</v>
      </c>
      <c r="J28" s="27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32" t="s">
        <v>6</v>
      </c>
      <c r="F29" s="24"/>
      <c r="G29" s="98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3.5" thickBot="1">
      <c r="A31" s="9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00"/>
      <c r="B32" s="101"/>
      <c r="C32" s="102" t="s">
        <v>7</v>
      </c>
      <c r="D32" s="11"/>
      <c r="E32" s="103" t="s">
        <v>6</v>
      </c>
      <c r="F32" s="11"/>
      <c r="G32" s="60" t="s">
        <v>5</v>
      </c>
      <c r="H32" s="11"/>
      <c r="I32" s="11" t="s">
        <v>171</v>
      </c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04"/>
      <c r="B33" s="105"/>
      <c r="C33" s="106" t="s">
        <v>8</v>
      </c>
      <c r="D33" s="11"/>
      <c r="E33" s="11"/>
      <c r="F33" s="107"/>
      <c r="G33" s="58"/>
      <c r="H33" s="108"/>
      <c r="I33" s="389" t="s">
        <v>170</v>
      </c>
      <c r="J33" s="390" t="s">
        <v>155</v>
      </c>
      <c r="K33" s="11"/>
      <c r="L33" s="11"/>
      <c r="M33" s="11"/>
      <c r="N33" s="11"/>
      <c r="O33" s="11"/>
      <c r="P33" s="11"/>
      <c r="Q33" s="11"/>
    </row>
    <row r="34" spans="1:17" ht="12.75">
      <c r="A34" s="23"/>
      <c r="B34" s="105"/>
      <c r="C34" s="106" t="s">
        <v>9</v>
      </c>
      <c r="D34" s="11"/>
      <c r="E34" s="11"/>
      <c r="F34" s="107"/>
      <c r="G34" s="58"/>
      <c r="H34" s="108"/>
      <c r="I34" s="391">
        <v>0.8</v>
      </c>
      <c r="J34" s="392">
        <f>SQRT(I34)</f>
        <v>0.8944271909999159</v>
      </c>
      <c r="K34" s="11"/>
      <c r="L34" s="11"/>
      <c r="M34" s="11"/>
      <c r="N34" s="11"/>
      <c r="O34" s="11"/>
      <c r="P34" s="11"/>
      <c r="Q34" s="11"/>
    </row>
    <row r="35" spans="1:17" ht="13.5" thickBot="1">
      <c r="A35" s="28"/>
      <c r="B35" s="109"/>
      <c r="C35" s="110" t="s">
        <v>20</v>
      </c>
      <c r="D35" s="11"/>
      <c r="E35" s="11"/>
      <c r="F35" s="58"/>
      <c r="G35" s="58"/>
      <c r="H35" s="108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394"/>
      <c r="B37" s="96" t="s">
        <v>205</v>
      </c>
      <c r="C37" s="393">
        <f>SQRT(CoefDébCavit)</f>
        <v>0.8876936408468858</v>
      </c>
      <c r="D37" s="11"/>
      <c r="E37" s="108"/>
      <c r="F37" s="11"/>
      <c r="G37" s="60" t="s">
        <v>108</v>
      </c>
      <c r="H37" s="297">
        <v>0.95</v>
      </c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32"/>
      <c r="F38" s="11"/>
      <c r="G38" s="11"/>
      <c r="H38" s="11"/>
      <c r="I38" s="315" t="s">
        <v>173</v>
      </c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3.5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3.5" thickBot="1">
      <c r="A43" s="11"/>
      <c r="B43" s="11"/>
      <c r="C43" s="11"/>
      <c r="D43" s="11"/>
      <c r="E43" s="11"/>
      <c r="F43" s="11"/>
      <c r="G43" s="84" t="s">
        <v>27</v>
      </c>
      <c r="H43" s="298">
        <v>221</v>
      </c>
      <c r="I43" s="85" t="s">
        <v>11</v>
      </c>
      <c r="J43" s="11" t="s">
        <v>172</v>
      </c>
      <c r="K43" s="11"/>
      <c r="L43" s="11"/>
      <c r="M43" s="11"/>
      <c r="N43" s="11"/>
      <c r="O43" s="11"/>
      <c r="P43" s="11"/>
      <c r="Q43" s="11"/>
    </row>
    <row r="44" spans="1:17" ht="13.5" thickBot="1">
      <c r="A44" s="11"/>
      <c r="B44" s="11"/>
      <c r="C44" s="107"/>
      <c r="D44" s="4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42" t="s">
        <v>29</v>
      </c>
      <c r="C45" s="68" t="s">
        <v>25</v>
      </c>
      <c r="D45" s="21">
        <f>pressVap</f>
        <v>0.2</v>
      </c>
      <c r="E45" s="59" t="s">
        <v>11</v>
      </c>
      <c r="F45" s="11"/>
      <c r="G45" s="18"/>
      <c r="H45" s="61" t="s">
        <v>32</v>
      </c>
      <c r="I45" s="17"/>
      <c r="J45" s="11"/>
      <c r="K45" s="11"/>
      <c r="L45" s="11"/>
      <c r="M45" s="11"/>
      <c r="N45" s="11"/>
      <c r="O45" s="11"/>
      <c r="P45" s="11"/>
      <c r="Q45" s="11"/>
    </row>
    <row r="46" spans="1:17" ht="13.5" thickBot="1">
      <c r="A46" s="11"/>
      <c r="B46" s="11"/>
      <c r="C46" s="112" t="s">
        <v>26</v>
      </c>
      <c r="D46" s="111">
        <f>0.5*press1</f>
        <v>2.1</v>
      </c>
      <c r="E46" s="39" t="s">
        <v>11</v>
      </c>
      <c r="F46" s="11"/>
      <c r="G46" s="28"/>
      <c r="H46" s="87">
        <f>FL*FL*(press1-pressSC)</f>
        <v>3.6187403868286054</v>
      </c>
      <c r="I46" s="63" t="s">
        <v>11</v>
      </c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316"/>
      <c r="H47" s="86"/>
      <c r="I47" s="317"/>
      <c r="J47" s="11"/>
      <c r="K47" s="11"/>
      <c r="L47" s="11"/>
      <c r="M47" s="11"/>
      <c r="N47" s="11"/>
      <c r="O47" s="11"/>
      <c r="P47" s="11"/>
      <c r="Q47" s="11"/>
    </row>
    <row r="48" spans="1:17" ht="13.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8"/>
      <c r="D49" s="61" t="s">
        <v>109</v>
      </c>
      <c r="E49" s="101"/>
      <c r="F49" s="1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3.5" thickBot="1">
      <c r="A50" s="11"/>
      <c r="B50" s="11"/>
      <c r="C50" s="28"/>
      <c r="D50" s="62" t="s">
        <v>110</v>
      </c>
      <c r="E50" s="30">
        <f>FL*FL*(press1-pressVap)</f>
        <v>3.61</v>
      </c>
      <c r="F50" s="63" t="s">
        <v>11</v>
      </c>
      <c r="G50" s="11"/>
      <c r="H50" s="11"/>
      <c r="I50" s="11"/>
      <c r="J50" s="11"/>
      <c r="K50" s="31"/>
      <c r="L50" s="11"/>
      <c r="M50" s="11"/>
      <c r="N50" s="11"/>
      <c r="O50" s="11"/>
      <c r="P50" s="11"/>
      <c r="Q50" s="11"/>
    </row>
    <row r="51" spans="1:17" ht="12.75">
      <c r="A51" s="11"/>
      <c r="B51" s="316"/>
      <c r="C51" s="31"/>
      <c r="D51" s="31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34"/>
      <c r="F53" s="318" t="s">
        <v>111</v>
      </c>
      <c r="G53" s="36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37"/>
      <c r="F54" s="339">
        <f>(0.96-(0.28*SQRT(pressVap/pressCrit)))*pressVap</f>
        <v>0.19031536085473066</v>
      </c>
      <c r="G54" s="39" t="s">
        <v>11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11"/>
      <c r="F56" s="11"/>
      <c r="G56" s="32" t="s">
        <v>33</v>
      </c>
      <c r="H56" s="68" t="s">
        <v>34</v>
      </c>
      <c r="I56" s="21">
        <f>dpv</f>
        <v>3.1500000000000004</v>
      </c>
      <c r="J56" s="59" t="s">
        <v>11</v>
      </c>
      <c r="K56" s="11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11"/>
      <c r="B58" s="11"/>
      <c r="C58" s="11"/>
      <c r="D58" s="11"/>
      <c r="E58" s="88" t="s">
        <v>6</v>
      </c>
      <c r="F58" s="11"/>
      <c r="G58" s="89"/>
      <c r="H58" s="90" t="s">
        <v>5</v>
      </c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11"/>
      <c r="B59" s="11"/>
      <c r="C59" s="11"/>
      <c r="D59" s="11"/>
      <c r="E59" s="60"/>
      <c r="F59" s="11"/>
      <c r="G59" s="89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3.5" thickBot="1">
      <c r="A60" s="11"/>
      <c r="B60" s="11"/>
      <c r="C60" s="11"/>
      <c r="D60" s="11"/>
      <c r="E60" s="60"/>
      <c r="F60" s="11"/>
      <c r="G60" s="89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3.5" thickBot="1">
      <c r="A61" s="11"/>
      <c r="B61" s="91"/>
      <c r="C61" s="92"/>
      <c r="D61" s="92"/>
      <c r="E61" s="93" t="s">
        <v>16</v>
      </c>
      <c r="F61" s="11"/>
      <c r="G61" s="11"/>
      <c r="H61" s="11"/>
      <c r="I61" s="320" t="s">
        <v>15</v>
      </c>
      <c r="J61" s="3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1"/>
      <c r="B64" s="34" t="s">
        <v>36</v>
      </c>
      <c r="C64" s="35"/>
      <c r="D64" s="35"/>
      <c r="E64" s="36"/>
      <c r="F64" s="31"/>
      <c r="G64" s="95" t="s">
        <v>113</v>
      </c>
      <c r="H64" s="59"/>
      <c r="I64" s="11"/>
      <c r="J64" s="321" t="s">
        <v>115</v>
      </c>
      <c r="K64" s="59"/>
      <c r="L64" s="11"/>
      <c r="M64" s="11"/>
      <c r="N64" s="11"/>
      <c r="O64" s="11"/>
      <c r="P64" s="11"/>
      <c r="Q64" s="11"/>
    </row>
    <row r="65" spans="1:17" ht="13.5" thickBot="1">
      <c r="A65" s="11"/>
      <c r="B65" s="37" t="s">
        <v>37</v>
      </c>
      <c r="C65" s="38"/>
      <c r="D65" s="38"/>
      <c r="E65" s="3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3.5" thickBot="1">
      <c r="A66" s="11"/>
      <c r="B66" s="95"/>
      <c r="C66" s="96" t="s">
        <v>35</v>
      </c>
      <c r="D66" s="319">
        <v>20.2</v>
      </c>
      <c r="E66" s="59" t="s">
        <v>11</v>
      </c>
      <c r="F66" s="11"/>
      <c r="G66" s="94" t="s">
        <v>39</v>
      </c>
      <c r="H66" s="64">
        <f>1.156*débit*SQRT(densité/dpv)</f>
        <v>3.256661061553883</v>
      </c>
      <c r="I66" s="11"/>
      <c r="J66" s="68" t="s">
        <v>114</v>
      </c>
      <c r="K66" s="322">
        <v>0.35</v>
      </c>
      <c r="L66" s="11"/>
      <c r="M66" s="11"/>
      <c r="N66" s="11"/>
      <c r="O66" s="11"/>
      <c r="P66" s="11"/>
      <c r="Q66" s="11"/>
    </row>
    <row r="67" spans="1:17" ht="13.5" thickBot="1">
      <c r="A67" s="11"/>
      <c r="B67" s="11"/>
      <c r="C67" s="11"/>
      <c r="D67" s="11"/>
      <c r="E67" s="11"/>
      <c r="F67" s="11"/>
      <c r="G67" s="11"/>
      <c r="H67" s="11"/>
      <c r="I67" s="11"/>
      <c r="J67" s="67" t="s">
        <v>80</v>
      </c>
      <c r="K67" s="280">
        <f>1.156*débit*SQRT(densité/dpv)/Fr</f>
        <v>9.304745890153953</v>
      </c>
      <c r="L67" s="11"/>
      <c r="M67" s="11"/>
      <c r="N67" s="11"/>
      <c r="O67" s="11"/>
      <c r="P67" s="11"/>
      <c r="Q67" s="11"/>
    </row>
    <row r="68" spans="1:17" ht="13.5" thickBot="1">
      <c r="A68" s="11"/>
      <c r="B68" s="11"/>
      <c r="C68" s="11"/>
      <c r="D68" s="11"/>
      <c r="E68" s="11"/>
      <c r="F68" s="11"/>
      <c r="G68" s="83" t="s">
        <v>79</v>
      </c>
      <c r="H68" s="65">
        <f>débit*SQRT(densité/dpv)</f>
        <v>2.817180849095055</v>
      </c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2.75">
      <c r="A69" s="11"/>
      <c r="B69" s="31"/>
      <c r="C69" s="79" t="s">
        <v>38</v>
      </c>
      <c r="D69" s="80">
        <f>1.156*débit*SQRT(densité/dpCritique)</f>
        <v>1.2860331209260558</v>
      </c>
      <c r="E69" s="11"/>
      <c r="F69" s="11"/>
      <c r="G69" s="11"/>
      <c r="H69" s="11"/>
      <c r="I69" s="11"/>
      <c r="J69" s="68" t="s">
        <v>81</v>
      </c>
      <c r="K69" s="281">
        <f>débit*SQRT(densité/dpv)/Fr</f>
        <v>8.049088140271587</v>
      </c>
      <c r="L69" s="11"/>
      <c r="M69" s="11"/>
      <c r="N69" s="11"/>
      <c r="O69" s="11"/>
      <c r="P69" s="11"/>
      <c r="Q69" s="11"/>
    </row>
    <row r="70" spans="1:17" ht="12.75">
      <c r="A70" s="11"/>
      <c r="B70" s="11"/>
      <c r="C70" s="11"/>
      <c r="D70" s="11"/>
      <c r="E70" s="11"/>
      <c r="F70" s="11"/>
      <c r="G70" s="11"/>
      <c r="H70" s="3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2.75">
      <c r="A71" s="11"/>
      <c r="B71" s="11"/>
      <c r="C71" s="11"/>
      <c r="D71" s="11"/>
      <c r="E71" s="11"/>
      <c r="F71" s="11"/>
      <c r="G71" s="11"/>
      <c r="H71" s="31"/>
      <c r="I71" s="66" t="s">
        <v>112</v>
      </c>
      <c r="J71" s="345">
        <v>6</v>
      </c>
      <c r="K71" s="31"/>
      <c r="L71" s="11"/>
      <c r="M71" s="11"/>
      <c r="N71" s="11"/>
      <c r="O71" s="11"/>
      <c r="P71" s="11"/>
      <c r="Q71" s="11"/>
    </row>
    <row r="72" spans="1:17" ht="12.75">
      <c r="A72" s="11"/>
      <c r="B72" s="11"/>
      <c r="C72" s="11"/>
      <c r="D72" s="11"/>
      <c r="E72" s="42" t="s">
        <v>6</v>
      </c>
      <c r="F72" s="11"/>
      <c r="G72" s="42" t="s">
        <v>5</v>
      </c>
      <c r="H72" s="11"/>
      <c r="I72" s="68" t="s">
        <v>117</v>
      </c>
      <c r="J72" s="323">
        <f>(H66/J71)*100</f>
        <v>54.27768435923138</v>
      </c>
      <c r="K72" s="59" t="s">
        <v>116</v>
      </c>
      <c r="L72" s="11"/>
      <c r="M72" s="11"/>
      <c r="N72" s="11"/>
      <c r="O72" s="11"/>
      <c r="P72" s="11"/>
      <c r="Q72" s="11"/>
    </row>
    <row r="73" spans="1:1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 thickBo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 thickBot="1">
      <c r="A75" s="11"/>
      <c r="B75" s="11"/>
      <c r="C75" s="81" t="s">
        <v>40</v>
      </c>
      <c r="D75" s="301">
        <v>12</v>
      </c>
      <c r="E75" s="71" t="s">
        <v>41</v>
      </c>
      <c r="F75" s="42"/>
      <c r="G75" s="82" t="s">
        <v>43</v>
      </c>
      <c r="H75" s="300">
        <v>150</v>
      </c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2.75">
      <c r="A78" s="11"/>
      <c r="B78" s="11"/>
      <c r="C78" s="388" t="s">
        <v>78</v>
      </c>
      <c r="D78" s="72">
        <f>SQRT(1/(3600*3.1416/4))*(SQRT(débit/vmaxi))*(POWER(10,3))</f>
        <v>12.139412812973074</v>
      </c>
      <c r="E78" s="73" t="s">
        <v>42</v>
      </c>
      <c r="F78" s="95"/>
      <c r="G78" s="324"/>
      <c r="H78" s="96" t="s">
        <v>118</v>
      </c>
      <c r="I78" s="346">
        <v>40</v>
      </c>
      <c r="J78" s="324" t="s">
        <v>119</v>
      </c>
      <c r="K78" s="59"/>
      <c r="L78" s="11"/>
      <c r="M78" s="11"/>
      <c r="N78" s="11"/>
      <c r="O78" s="11"/>
      <c r="P78" s="11"/>
      <c r="Q78" s="11"/>
    </row>
    <row r="79" spans="1:1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2.75">
      <c r="A81" s="11"/>
      <c r="B81" s="11"/>
      <c r="C81" s="11"/>
      <c r="D81" s="11"/>
      <c r="E81" s="11"/>
      <c r="F81" s="11"/>
      <c r="G81" s="71"/>
      <c r="H81" s="74" t="s">
        <v>44</v>
      </c>
      <c r="I81" s="69">
        <f>(QmV/MVVSat)/(3600*(3.14159/4)*DN*DN*POWER(10,-6))</f>
        <v>31.438040004827315</v>
      </c>
      <c r="J81" s="70" t="s">
        <v>41</v>
      </c>
      <c r="K81" s="11"/>
      <c r="L81" s="11"/>
      <c r="M81" s="11"/>
      <c r="N81" s="11"/>
      <c r="O81" s="11"/>
      <c r="P81" s="11"/>
      <c r="Q81" s="11"/>
    </row>
    <row r="82" spans="1:17" ht="12.75">
      <c r="A82" s="11"/>
      <c r="B82" s="11"/>
      <c r="C82" s="11"/>
      <c r="D82" s="11"/>
      <c r="E82" s="11"/>
      <c r="F82" s="11"/>
      <c r="G82" s="40"/>
      <c r="H82" s="75"/>
      <c r="I82" s="71"/>
      <c r="J82" s="71"/>
      <c r="K82" s="11"/>
      <c r="L82" s="11"/>
      <c r="M82" s="11"/>
      <c r="N82" s="11"/>
      <c r="O82" s="11"/>
      <c r="P82" s="11"/>
      <c r="Q82" s="11"/>
    </row>
    <row r="83" spans="1:17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2.75">
      <c r="A85" s="11"/>
      <c r="B85" s="11"/>
      <c r="C85" s="76"/>
      <c r="D85" s="77"/>
      <c r="E85" s="7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</sheetData>
  <mergeCells count="2">
    <mergeCell ref="G9:H9"/>
    <mergeCell ref="D14:E1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U71"/>
  <sheetViews>
    <sheetView showGridLines="0" zoomScale="75" zoomScaleNormal="75" workbookViewId="0" topLeftCell="A25">
      <selection activeCell="B61" sqref="B61"/>
    </sheetView>
  </sheetViews>
  <sheetFormatPr defaultColWidth="11.421875" defaultRowHeight="12.75"/>
  <cols>
    <col min="1" max="8" width="11.421875" style="1" customWidth="1"/>
    <col min="9" max="9" width="12.421875" style="1" bestFit="1" customWidth="1"/>
    <col min="10" max="16384" width="11.421875" style="1" customWidth="1"/>
  </cols>
  <sheetData>
    <row r="1" spans="1:21" ht="30" customHeight="1" thickBot="1">
      <c r="A1" s="117"/>
      <c r="B1" s="117"/>
      <c r="C1" s="117"/>
      <c r="D1" s="437" t="s">
        <v>0</v>
      </c>
      <c r="E1" s="438"/>
      <c r="F1" s="439"/>
      <c r="G1" s="117"/>
      <c r="H1" s="117"/>
      <c r="I1" s="117"/>
      <c r="J1" s="383"/>
      <c r="K1" s="384" t="s">
        <v>166</v>
      </c>
      <c r="L1" s="385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30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6.5" thickBot="1">
      <c r="A3" s="117"/>
      <c r="B3" s="197" t="s">
        <v>45</v>
      </c>
      <c r="C3" s="131"/>
      <c r="D3" s="198"/>
      <c r="E3" s="131"/>
      <c r="F3" s="131"/>
      <c r="G3" s="131"/>
      <c r="H3" s="131"/>
      <c r="I3" s="411" t="s">
        <v>204</v>
      </c>
      <c r="J3" s="370">
        <v>0.39</v>
      </c>
      <c r="K3" s="117" t="s">
        <v>83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2.75">
      <c r="A4" s="199"/>
      <c r="B4" s="200" t="s">
        <v>13</v>
      </c>
      <c r="C4" s="302">
        <v>28</v>
      </c>
      <c r="D4" s="201" t="s">
        <v>62</v>
      </c>
      <c r="E4" s="199"/>
      <c r="F4" s="200" t="s">
        <v>157</v>
      </c>
      <c r="G4" s="305">
        <v>0.3</v>
      </c>
      <c r="H4" s="117"/>
      <c r="I4" s="229" t="s">
        <v>277</v>
      </c>
      <c r="J4" s="350">
        <f>J3/1.293</f>
        <v>0.30162412993039445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2.75">
      <c r="A5" s="202"/>
      <c r="B5" s="118" t="s">
        <v>14</v>
      </c>
      <c r="C5" s="303">
        <v>22</v>
      </c>
      <c r="D5" s="203" t="s">
        <v>62</v>
      </c>
      <c r="E5" s="202"/>
      <c r="F5" s="118" t="s">
        <v>50</v>
      </c>
      <c r="G5" s="306">
        <v>1.4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13.5" thickBot="1">
      <c r="A6" s="204"/>
      <c r="B6" s="205" t="s">
        <v>55</v>
      </c>
      <c r="C6" s="304">
        <v>320</v>
      </c>
      <c r="D6" s="206" t="s">
        <v>56</v>
      </c>
      <c r="E6" s="204"/>
      <c r="F6" s="207" t="s">
        <v>53</v>
      </c>
      <c r="G6" s="307">
        <v>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2.75">
      <c r="A7" s="117"/>
      <c r="B7" s="114"/>
      <c r="C7" s="115"/>
      <c r="D7" s="116"/>
      <c r="E7" s="117"/>
      <c r="F7" s="118"/>
      <c r="G7" s="11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2.75">
      <c r="A8" s="117"/>
      <c r="B8" s="114"/>
      <c r="C8" s="115"/>
      <c r="D8" s="116"/>
      <c r="E8" s="117"/>
      <c r="F8" s="118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2.75">
      <c r="A9" s="117"/>
      <c r="B9" s="114"/>
      <c r="C9" s="115"/>
      <c r="D9" s="119"/>
      <c r="E9" s="117"/>
      <c r="F9" s="118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ht="12.75">
      <c r="A10" s="117"/>
      <c r="B10" s="114"/>
      <c r="C10" s="115"/>
      <c r="D10" s="119"/>
      <c r="E10" s="117"/>
      <c r="F10" s="120" t="s">
        <v>6</v>
      </c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12.75">
      <c r="A11" s="117"/>
      <c r="B11" s="114"/>
      <c r="C11" s="115"/>
      <c r="D11" s="119"/>
      <c r="E11" s="117"/>
      <c r="F11" s="118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ht="12.75">
      <c r="A12" s="117"/>
      <c r="B12" s="114"/>
      <c r="C12" s="115"/>
      <c r="D12" s="119"/>
      <c r="E12" s="117"/>
      <c r="F12" s="118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12.75">
      <c r="A13" s="117"/>
      <c r="B13" s="114"/>
      <c r="C13" s="115"/>
      <c r="D13" s="119"/>
      <c r="E13" s="117"/>
      <c r="F13" s="118"/>
      <c r="G13" s="121" t="s">
        <v>58</v>
      </c>
      <c r="H13" s="122"/>
      <c r="I13" s="122"/>
      <c r="J13" s="12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12.75">
      <c r="A14" s="117"/>
      <c r="B14" s="117"/>
      <c r="C14" s="117"/>
      <c r="D14" s="116"/>
      <c r="E14" s="208" t="s">
        <v>5</v>
      </c>
      <c r="F14" s="117"/>
      <c r="G14" s="124" t="s">
        <v>59</v>
      </c>
      <c r="H14" s="114"/>
      <c r="I14" s="114"/>
      <c r="J14" s="125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12.75">
      <c r="A15" s="117"/>
      <c r="B15" s="209"/>
      <c r="C15" s="117"/>
      <c r="D15" s="117"/>
      <c r="E15" s="117"/>
      <c r="F15" s="117"/>
      <c r="G15" s="126" t="s">
        <v>60</v>
      </c>
      <c r="H15" s="2">
        <v>13600</v>
      </c>
      <c r="I15" s="116" t="s">
        <v>12</v>
      </c>
      <c r="J15" s="125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ht="12.75">
      <c r="A16" s="117"/>
      <c r="B16" s="117"/>
      <c r="C16" s="117"/>
      <c r="D16" s="210" t="s">
        <v>63</v>
      </c>
      <c r="E16" s="2">
        <v>173111</v>
      </c>
      <c r="F16" s="116" t="s">
        <v>57</v>
      </c>
      <c r="G16" s="127" t="s">
        <v>61</v>
      </c>
      <c r="H16" s="128">
        <f>Qs*((Pgaz1/1.013)*(273.15/(tempGaz+273.15)))</f>
        <v>173110.8004272869</v>
      </c>
      <c r="I16" s="129" t="s">
        <v>197</v>
      </c>
      <c r="J16" s="130"/>
      <c r="K16" s="117"/>
      <c r="L16" s="117"/>
      <c r="M16" s="229"/>
      <c r="N16" s="279"/>
      <c r="O16" s="279"/>
      <c r="P16" s="117"/>
      <c r="Q16" s="117"/>
      <c r="R16" s="117"/>
      <c r="S16" s="117"/>
      <c r="T16" s="117"/>
      <c r="U16" s="117"/>
    </row>
    <row r="17" spans="1:21" ht="12.75">
      <c r="A17" s="117"/>
      <c r="B17" s="117"/>
      <c r="C17" s="117"/>
      <c r="D17" s="117"/>
      <c r="E17" s="117"/>
      <c r="F17" s="117"/>
      <c r="G17" s="131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12.75">
      <c r="A18" s="117"/>
      <c r="B18" s="209"/>
      <c r="C18" s="209"/>
      <c r="D18" s="209"/>
      <c r="E18" s="209"/>
      <c r="F18" s="117"/>
      <c r="G18" s="131"/>
      <c r="H18" s="117"/>
      <c r="I18" s="117"/>
      <c r="J18" s="117"/>
      <c r="K18" s="386" t="s">
        <v>162</v>
      </c>
      <c r="L18" s="122"/>
      <c r="M18" s="122"/>
      <c r="N18" s="122"/>
      <c r="O18" s="122"/>
      <c r="P18" s="122"/>
      <c r="Q18" s="123"/>
      <c r="R18" s="117"/>
      <c r="S18" s="117"/>
      <c r="T18" s="117"/>
      <c r="U18" s="117"/>
    </row>
    <row r="19" spans="1:21" ht="12.75">
      <c r="A19" s="117"/>
      <c r="B19" s="209"/>
      <c r="C19" s="209"/>
      <c r="D19" s="209"/>
      <c r="E19" s="211"/>
      <c r="F19" s="131"/>
      <c r="G19" s="117"/>
      <c r="H19" s="117"/>
      <c r="I19" s="117"/>
      <c r="J19" s="117"/>
      <c r="K19" s="124"/>
      <c r="L19" s="210" t="s">
        <v>161</v>
      </c>
      <c r="M19" s="387">
        <v>4</v>
      </c>
      <c r="N19" s="114" t="s">
        <v>62</v>
      </c>
      <c r="O19" s="114" t="s">
        <v>167</v>
      </c>
      <c r="P19" s="114"/>
      <c r="Q19" s="125"/>
      <c r="R19" s="117"/>
      <c r="S19" s="117"/>
      <c r="T19" s="117"/>
      <c r="U19" s="117"/>
    </row>
    <row r="20" spans="1:21" ht="12.75">
      <c r="A20" s="117"/>
      <c r="B20" s="209"/>
      <c r="C20" s="212" t="s">
        <v>18</v>
      </c>
      <c r="D20" s="213"/>
      <c r="E20" s="213"/>
      <c r="F20" s="214" t="s">
        <v>5</v>
      </c>
      <c r="G20" s="215" t="s">
        <v>293</v>
      </c>
      <c r="H20" s="117"/>
      <c r="I20" s="234"/>
      <c r="J20" s="117"/>
      <c r="K20" s="124"/>
      <c r="L20" s="117"/>
      <c r="M20" s="117"/>
      <c r="N20" s="117"/>
      <c r="O20" s="117"/>
      <c r="P20" s="117"/>
      <c r="Q20" s="125"/>
      <c r="R20" s="117"/>
      <c r="S20" s="117"/>
      <c r="T20" s="117"/>
      <c r="U20" s="117"/>
    </row>
    <row r="21" spans="1:21" ht="12.75">
      <c r="A21" s="117"/>
      <c r="B21" s="209"/>
      <c r="C21" s="209"/>
      <c r="D21" s="209"/>
      <c r="E21" s="209"/>
      <c r="F21" s="216"/>
      <c r="G21" s="117"/>
      <c r="H21" s="355" t="s">
        <v>155</v>
      </c>
      <c r="I21" s="355" t="s">
        <v>156</v>
      </c>
      <c r="J21" s="117"/>
      <c r="K21" s="124"/>
      <c r="L21" s="210" t="s">
        <v>159</v>
      </c>
      <c r="M21" s="370">
        <v>0.39</v>
      </c>
      <c r="N21" s="117" t="s">
        <v>129</v>
      </c>
      <c r="O21" s="117"/>
      <c r="P21" s="210" t="s">
        <v>168</v>
      </c>
      <c r="Q21" s="125"/>
      <c r="R21" s="117"/>
      <c r="S21" s="117"/>
      <c r="T21" s="117"/>
      <c r="U21" s="117"/>
    </row>
    <row r="22" spans="1:21" ht="12.75">
      <c r="A22" s="117"/>
      <c r="B22" s="117"/>
      <c r="C22" s="117"/>
      <c r="D22" s="131"/>
      <c r="E22" s="131"/>
      <c r="F22" s="131"/>
      <c r="G22" s="117"/>
      <c r="H22" s="379">
        <v>0.9</v>
      </c>
      <c r="I22" s="368">
        <f>0.6*gamma*H22*H22</f>
        <v>0.6804</v>
      </c>
      <c r="J22" s="117"/>
      <c r="K22" s="124"/>
      <c r="L22" s="117"/>
      <c r="M22" s="371"/>
      <c r="N22" s="117"/>
      <c r="O22" s="117"/>
      <c r="P22" s="117"/>
      <c r="Q22" s="125"/>
      <c r="R22" s="117"/>
      <c r="S22" s="117"/>
      <c r="T22" s="117"/>
      <c r="U22" s="117"/>
    </row>
    <row r="23" spans="1:21" ht="12.75">
      <c r="A23" s="217"/>
      <c r="B23" s="218" t="s">
        <v>150</v>
      </c>
      <c r="C23" s="219"/>
      <c r="D23" s="131"/>
      <c r="E23" s="220" t="s">
        <v>154</v>
      </c>
      <c r="F23" s="296">
        <v>0.68</v>
      </c>
      <c r="G23" s="117"/>
      <c r="H23" s="117"/>
      <c r="I23" s="117"/>
      <c r="J23" s="117"/>
      <c r="K23" s="124" t="s">
        <v>160</v>
      </c>
      <c r="L23" s="209"/>
      <c r="M23" s="117" t="s">
        <v>163</v>
      </c>
      <c r="N23" s="117"/>
      <c r="O23" s="117"/>
      <c r="P23" s="117"/>
      <c r="Q23" s="125"/>
      <c r="R23" s="117"/>
      <c r="S23" s="117"/>
      <c r="T23" s="117"/>
      <c r="U23" s="117"/>
    </row>
    <row r="24" spans="1:21" ht="12.75">
      <c r="A24" s="124"/>
      <c r="B24" s="221" t="s">
        <v>153</v>
      </c>
      <c r="C24" s="222"/>
      <c r="D24" s="131"/>
      <c r="E24" s="131"/>
      <c r="F24" s="131"/>
      <c r="G24" s="117"/>
      <c r="H24" s="229"/>
      <c r="I24" s="349"/>
      <c r="J24" s="117"/>
      <c r="K24" s="124"/>
      <c r="L24" s="118" t="s">
        <v>39</v>
      </c>
      <c r="M24" s="372">
        <v>14</v>
      </c>
      <c r="N24" s="117"/>
      <c r="O24" s="117"/>
      <c r="P24" s="117"/>
      <c r="Q24" s="125"/>
      <c r="R24" s="117"/>
      <c r="S24" s="117"/>
      <c r="T24" s="117"/>
      <c r="U24" s="117"/>
    </row>
    <row r="25" spans="1:21" ht="12.75">
      <c r="A25" s="124"/>
      <c r="B25" s="115" t="s">
        <v>151</v>
      </c>
      <c r="C25" s="222"/>
      <c r="D25" s="209"/>
      <c r="E25" s="209"/>
      <c r="F25" s="209"/>
      <c r="G25" s="117"/>
      <c r="H25" s="117"/>
      <c r="I25" s="241"/>
      <c r="J25" s="117"/>
      <c r="K25" s="124"/>
      <c r="L25" s="382" t="s">
        <v>130</v>
      </c>
      <c r="M25" s="373">
        <f>110*1.156*M24*M19*0.66667*SQRT(M21*28.97/(293*Zgaz))</f>
        <v>932.2281213290584</v>
      </c>
      <c r="N25" s="231" t="s">
        <v>86</v>
      </c>
      <c r="O25" s="116"/>
      <c r="P25" s="117"/>
      <c r="Q25" s="125"/>
      <c r="R25" s="117"/>
      <c r="S25" s="117"/>
      <c r="T25" s="117"/>
      <c r="U25" s="117"/>
    </row>
    <row r="26" spans="1:21" ht="12.75">
      <c r="A26" s="223"/>
      <c r="B26" s="224" t="s">
        <v>152</v>
      </c>
      <c r="C26" s="225"/>
      <c r="D26" s="116"/>
      <c r="E26" s="116"/>
      <c r="F26" s="226" t="s">
        <v>49</v>
      </c>
      <c r="G26" s="227">
        <f>Xt*Pgaz1</f>
        <v>19.040000000000003</v>
      </c>
      <c r="H26" s="228" t="s">
        <v>11</v>
      </c>
      <c r="I26" s="117"/>
      <c r="J26" s="117"/>
      <c r="K26" s="124"/>
      <c r="L26" s="117"/>
      <c r="M26" s="117"/>
      <c r="N26" s="117"/>
      <c r="O26" s="231"/>
      <c r="P26" s="117"/>
      <c r="Q26" s="125"/>
      <c r="R26" s="117"/>
      <c r="S26" s="117"/>
      <c r="T26" s="117"/>
      <c r="U26" s="117"/>
    </row>
    <row r="27" spans="1:21" ht="13.5" thickBot="1">
      <c r="A27" s="117"/>
      <c r="B27" s="209"/>
      <c r="C27" s="209"/>
      <c r="D27" s="117"/>
      <c r="E27" s="117"/>
      <c r="F27" s="117"/>
      <c r="G27" s="117"/>
      <c r="H27" s="117"/>
      <c r="I27" s="209"/>
      <c r="J27" s="117"/>
      <c r="K27" s="124"/>
      <c r="L27" s="210" t="s">
        <v>131</v>
      </c>
      <c r="M27" s="373">
        <f>2460*1.156*M24*M19*0.66667*SQRT(M21/(28.97*293*Zgaz))</f>
        <v>719.6413777479788</v>
      </c>
      <c r="N27" s="114" t="s">
        <v>142</v>
      </c>
      <c r="O27" s="114"/>
      <c r="P27" s="117"/>
      <c r="Q27" s="125"/>
      <c r="R27" s="117"/>
      <c r="S27" s="117"/>
      <c r="T27" s="117"/>
      <c r="U27" s="117"/>
    </row>
    <row r="28" spans="1:21" ht="13.5" thickBot="1">
      <c r="A28" s="117"/>
      <c r="B28" s="3" t="s">
        <v>128</v>
      </c>
      <c r="C28" s="4">
        <f>(Pgaz1-Pgaz2)/(Pgaz1*gamma/1.4)</f>
        <v>0.21428571428571427</v>
      </c>
      <c r="D28" s="117"/>
      <c r="E28" s="117"/>
      <c r="F28" s="229" t="s">
        <v>51</v>
      </c>
      <c r="G28" s="230">
        <f>Pgaz1-Pgaz2</f>
        <v>6</v>
      </c>
      <c r="H28" s="117" t="s">
        <v>11</v>
      </c>
      <c r="I28" s="209"/>
      <c r="J28" s="117"/>
      <c r="K28" s="223"/>
      <c r="L28" s="117"/>
      <c r="M28" s="117"/>
      <c r="N28" s="117"/>
      <c r="O28" s="117"/>
      <c r="P28" s="117"/>
      <c r="Q28" s="130"/>
      <c r="R28" s="117"/>
      <c r="S28" s="117"/>
      <c r="T28" s="117"/>
      <c r="U28" s="117"/>
    </row>
    <row r="29" spans="1:21" ht="12.75">
      <c r="A29" s="117"/>
      <c r="B29" s="229"/>
      <c r="C29" s="241"/>
      <c r="D29" s="117"/>
      <c r="E29" s="117"/>
      <c r="F29" s="117"/>
      <c r="G29" s="117"/>
      <c r="H29" s="117"/>
      <c r="I29" s="209"/>
      <c r="J29" s="117"/>
      <c r="K29" s="117"/>
      <c r="L29" s="355" t="s">
        <v>132</v>
      </c>
      <c r="M29" s="442" t="s">
        <v>133</v>
      </c>
      <c r="N29" s="443"/>
      <c r="O29" s="443"/>
      <c r="P29" s="444"/>
      <c r="Q29" s="117"/>
      <c r="R29" s="117"/>
      <c r="S29" s="117"/>
      <c r="T29" s="117"/>
      <c r="U29" s="117"/>
    </row>
    <row r="30" spans="1:21" ht="12.75">
      <c r="A30" s="117"/>
      <c r="B30" s="117"/>
      <c r="C30" s="117"/>
      <c r="D30" s="117"/>
      <c r="E30" s="117"/>
      <c r="F30" s="117"/>
      <c r="G30" s="117"/>
      <c r="H30" s="117"/>
      <c r="I30" s="232"/>
      <c r="J30" s="117"/>
      <c r="K30" s="117"/>
      <c r="L30" s="352" t="s">
        <v>134</v>
      </c>
      <c r="M30" s="277">
        <f>0.005*M27</f>
        <v>3.5982068887398944</v>
      </c>
      <c r="N30" s="123" t="s">
        <v>12</v>
      </c>
      <c r="O30" s="356">
        <f>M30*1000/60</f>
        <v>59.97011481233157</v>
      </c>
      <c r="P30" s="125" t="s">
        <v>141</v>
      </c>
      <c r="Q30" s="117"/>
      <c r="R30" s="117"/>
      <c r="S30" s="117"/>
      <c r="T30" s="117"/>
      <c r="U30" s="117"/>
    </row>
    <row r="31" spans="1:21" ht="12.75">
      <c r="A31" s="117"/>
      <c r="B31" s="117"/>
      <c r="C31" s="117"/>
      <c r="D31" s="117"/>
      <c r="E31" s="234" t="s">
        <v>6</v>
      </c>
      <c r="F31" s="117"/>
      <c r="G31" s="233" t="s">
        <v>5</v>
      </c>
      <c r="H31" s="117"/>
      <c r="I31" s="209"/>
      <c r="J31" s="117"/>
      <c r="K31" s="117"/>
      <c r="L31" s="352" t="s">
        <v>135</v>
      </c>
      <c r="M31" s="277">
        <f>0.001*M27</f>
        <v>0.7196413777479789</v>
      </c>
      <c r="N31" s="125" t="s">
        <v>12</v>
      </c>
      <c r="O31" s="356">
        <f>M31*1000/60</f>
        <v>11.994022962466314</v>
      </c>
      <c r="P31" s="125" t="s">
        <v>141</v>
      </c>
      <c r="Q31" s="117"/>
      <c r="R31" s="117"/>
      <c r="S31" s="117"/>
      <c r="T31" s="117"/>
      <c r="U31" s="117"/>
    </row>
    <row r="32" spans="1:21" ht="12.75">
      <c r="A32" s="117"/>
      <c r="B32" s="117"/>
      <c r="C32" s="117"/>
      <c r="D32" s="117"/>
      <c r="E32" s="117"/>
      <c r="F32" s="117"/>
      <c r="G32" s="117"/>
      <c r="H32" s="117"/>
      <c r="I32" s="209"/>
      <c r="J32" s="117"/>
      <c r="K32" s="117"/>
      <c r="L32" s="352" t="s">
        <v>136</v>
      </c>
      <c r="M32" s="353">
        <f>0.0001*M27</f>
        <v>0.07196413777479789</v>
      </c>
      <c r="N32" s="125" t="s">
        <v>12</v>
      </c>
      <c r="O32" s="277">
        <f>M32*1000/60</f>
        <v>1.1994022962466315</v>
      </c>
      <c r="P32" s="125" t="s">
        <v>141</v>
      </c>
      <c r="Q32" s="117"/>
      <c r="R32" s="117"/>
      <c r="S32" s="117"/>
      <c r="T32" s="117"/>
      <c r="U32" s="117"/>
    </row>
    <row r="33" spans="1:21" ht="13.5" thickBot="1">
      <c r="A33" s="117"/>
      <c r="B33" s="117"/>
      <c r="C33" s="117"/>
      <c r="D33" s="117"/>
      <c r="E33" s="117"/>
      <c r="F33" s="117"/>
      <c r="G33" s="117"/>
      <c r="H33" s="117"/>
      <c r="I33" s="209"/>
      <c r="J33" s="117"/>
      <c r="K33" s="117"/>
      <c r="L33" s="352" t="s">
        <v>137</v>
      </c>
      <c r="M33" s="354">
        <f>0.000005*M27</f>
        <v>0.0035982068887398942</v>
      </c>
      <c r="N33" s="125" t="s">
        <v>12</v>
      </c>
      <c r="O33" s="353">
        <f>M33*1000/60</f>
        <v>0.059970114812331575</v>
      </c>
      <c r="P33" s="125" t="s">
        <v>141</v>
      </c>
      <c r="Q33" s="117"/>
      <c r="R33" s="117"/>
      <c r="S33" s="117"/>
      <c r="T33" s="117"/>
      <c r="U33" s="117"/>
    </row>
    <row r="34" spans="1:21" ht="12.75">
      <c r="A34" s="117"/>
      <c r="B34" s="445" t="s">
        <v>64</v>
      </c>
      <c r="C34" s="446"/>
      <c r="D34" s="117"/>
      <c r="E34" s="117"/>
      <c r="F34" s="117"/>
      <c r="G34" s="117"/>
      <c r="H34" s="217"/>
      <c r="I34" s="235" t="s">
        <v>65</v>
      </c>
      <c r="J34" s="123"/>
      <c r="K34" s="117"/>
      <c r="L34" s="352" t="s">
        <v>138</v>
      </c>
      <c r="M34" s="350" t="s">
        <v>139</v>
      </c>
      <c r="N34" s="117"/>
      <c r="O34" s="117"/>
      <c r="P34" s="130"/>
      <c r="Q34" s="117"/>
      <c r="R34" s="117"/>
      <c r="S34" s="117"/>
      <c r="T34" s="117"/>
      <c r="U34" s="117"/>
    </row>
    <row r="35" spans="1:21" ht="13.5" thickBot="1">
      <c r="A35" s="117"/>
      <c r="B35" s="447" t="s">
        <v>52</v>
      </c>
      <c r="C35" s="448"/>
      <c r="D35" s="117"/>
      <c r="E35" s="117"/>
      <c r="F35" s="117"/>
      <c r="G35" s="117"/>
      <c r="H35" s="124"/>
      <c r="I35" s="210"/>
      <c r="J35" s="125"/>
      <c r="K35" s="117"/>
      <c r="L35" s="360" t="s">
        <v>169</v>
      </c>
      <c r="M35" s="365" t="s">
        <v>140</v>
      </c>
      <c r="N35" s="254" t="s">
        <v>147</v>
      </c>
      <c r="O35" s="130"/>
      <c r="P35" s="357" t="s">
        <v>143</v>
      </c>
      <c r="Q35" s="440" t="s">
        <v>144</v>
      </c>
      <c r="R35" s="441"/>
      <c r="S35" s="358" t="s">
        <v>146</v>
      </c>
      <c r="T35" s="117"/>
      <c r="U35" s="117"/>
    </row>
    <row r="36" spans="1:21" ht="12.75">
      <c r="A36" s="117"/>
      <c r="B36" s="209"/>
      <c r="C36" s="209"/>
      <c r="D36" s="117"/>
      <c r="E36" s="117"/>
      <c r="F36" s="374"/>
      <c r="G36" s="117"/>
      <c r="H36" s="410" t="s">
        <v>33</v>
      </c>
      <c r="I36" s="117"/>
      <c r="J36" s="125"/>
      <c r="K36" s="117"/>
      <c r="L36" s="117"/>
      <c r="M36" s="117"/>
      <c r="N36" s="117"/>
      <c r="O36" s="117"/>
      <c r="P36" s="359" t="s">
        <v>42</v>
      </c>
      <c r="Q36" s="360" t="s">
        <v>145</v>
      </c>
      <c r="R36" s="367" t="s">
        <v>149</v>
      </c>
      <c r="S36" s="361" t="s">
        <v>145</v>
      </c>
      <c r="T36" s="117"/>
      <c r="U36" s="117"/>
    </row>
    <row r="37" spans="1:21" ht="12.75">
      <c r="A37" s="117"/>
      <c r="B37" s="117"/>
      <c r="C37" s="117"/>
      <c r="D37" s="117"/>
      <c r="E37" s="209"/>
      <c r="F37" s="369"/>
      <c r="G37" s="117"/>
      <c r="H37" s="236" t="s">
        <v>61</v>
      </c>
      <c r="I37" s="400">
        <f>QnGaz</f>
        <v>173111</v>
      </c>
      <c r="J37" s="238" t="s">
        <v>197</v>
      </c>
      <c r="K37" s="230"/>
      <c r="L37" s="117"/>
      <c r="M37" s="355" t="s">
        <v>165</v>
      </c>
      <c r="N37" s="355" t="s">
        <v>164</v>
      </c>
      <c r="O37" s="117"/>
      <c r="P37" s="362">
        <v>25</v>
      </c>
      <c r="Q37" s="363">
        <v>0.15</v>
      </c>
      <c r="R37" s="351">
        <v>1</v>
      </c>
      <c r="S37" s="364">
        <f aca="true" t="shared" si="0" ref="S37:S48">0.3*dpvGaz*Q37</f>
        <v>0.26999999999999996</v>
      </c>
      <c r="T37" s="117"/>
      <c r="U37" s="117"/>
    </row>
    <row r="38" spans="1:21" ht="12.75">
      <c r="A38" s="117"/>
      <c r="B38" s="217"/>
      <c r="C38" s="235" t="s">
        <v>65</v>
      </c>
      <c r="D38" s="123"/>
      <c r="E38" s="209"/>
      <c r="F38" s="378" t="s">
        <v>158</v>
      </c>
      <c r="G38" s="377">
        <f>Qn/(2460*0.1859*Pgaz1*tauxY*SQRT((dpvGaz/Pgaz1)/(dGaz*(tempGaz+273.15)*Zgaz)))</f>
        <v>435.3071251135581</v>
      </c>
      <c r="H38" s="239" t="s">
        <v>94</v>
      </c>
      <c r="I38" s="375">
        <f>(Qn/(395*Pgaz1*tauxY))*SQRT(dGaz*(tempGaz+273.15)*Zgaz/(dpvGaz/Pgaz1))</f>
        <v>503.9798547194474</v>
      </c>
      <c r="J38" s="225"/>
      <c r="K38" s="117"/>
      <c r="L38" s="117"/>
      <c r="M38" s="380">
        <v>2.5</v>
      </c>
      <c r="N38" s="381">
        <f>1.156*M38</f>
        <v>2.8899999999999997</v>
      </c>
      <c r="O38" s="117"/>
      <c r="P38" s="362">
        <v>40</v>
      </c>
      <c r="Q38" s="363">
        <v>0.3</v>
      </c>
      <c r="R38" s="351">
        <v>2</v>
      </c>
      <c r="S38" s="364">
        <f t="shared" si="0"/>
        <v>0.5399999999999999</v>
      </c>
      <c r="T38" s="117"/>
      <c r="U38" s="117"/>
    </row>
    <row r="39" spans="1:21" ht="12.75">
      <c r="A39" s="117"/>
      <c r="B39" s="124"/>
      <c r="C39" s="210" t="s">
        <v>66</v>
      </c>
      <c r="D39" s="125"/>
      <c r="E39" s="229"/>
      <c r="F39" s="374"/>
      <c r="G39" s="117"/>
      <c r="H39" s="117"/>
      <c r="I39" s="117"/>
      <c r="J39" s="117"/>
      <c r="K39" s="117"/>
      <c r="L39" s="117"/>
      <c r="M39" s="117"/>
      <c r="N39" s="117"/>
      <c r="O39" s="117"/>
      <c r="P39" s="362">
        <v>50</v>
      </c>
      <c r="Q39" s="363">
        <v>0.45</v>
      </c>
      <c r="R39" s="351">
        <v>3</v>
      </c>
      <c r="S39" s="364">
        <f t="shared" si="0"/>
        <v>0.8099999999999999</v>
      </c>
      <c r="T39" s="117"/>
      <c r="U39" s="117"/>
    </row>
    <row r="40" spans="1:21" ht="12.75">
      <c r="A40" s="117"/>
      <c r="B40" s="124"/>
      <c r="C40" s="115" t="s">
        <v>37</v>
      </c>
      <c r="D40" s="125"/>
      <c r="E40" s="117"/>
      <c r="F40" s="117"/>
      <c r="G40" s="117"/>
      <c r="H40" s="241" t="s">
        <v>67</v>
      </c>
      <c r="I40" s="117"/>
      <c r="J40" s="117"/>
      <c r="K40" s="117"/>
      <c r="L40" s="331" t="s">
        <v>112</v>
      </c>
      <c r="M40" s="347">
        <v>640</v>
      </c>
      <c r="N40" s="117"/>
      <c r="O40" s="117"/>
      <c r="P40" s="362">
        <v>65</v>
      </c>
      <c r="Q40" s="363">
        <v>0.6</v>
      </c>
      <c r="R40" s="351">
        <v>4</v>
      </c>
      <c r="S40" s="364">
        <f t="shared" si="0"/>
        <v>1.0799999999999998</v>
      </c>
      <c r="T40" s="117"/>
      <c r="U40" s="117"/>
    </row>
    <row r="41" spans="1:21" ht="12.75">
      <c r="A41" s="117"/>
      <c r="B41" s="236" t="s">
        <v>61</v>
      </c>
      <c r="C41" s="308">
        <v>2649</v>
      </c>
      <c r="D41" s="238" t="s">
        <v>197</v>
      </c>
      <c r="E41" s="117"/>
      <c r="F41" s="117"/>
      <c r="G41" s="117"/>
      <c r="H41" s="117"/>
      <c r="I41" s="242" t="s">
        <v>70</v>
      </c>
      <c r="J41" s="243">
        <f>dpvGaz/Pgaz1</f>
        <v>0.21428571428571427</v>
      </c>
      <c r="K41" s="117"/>
      <c r="L41" s="330" t="s">
        <v>117</v>
      </c>
      <c r="M41" s="332">
        <f>(I38/M40)*100</f>
        <v>78.74685229991366</v>
      </c>
      <c r="N41" s="271" t="s">
        <v>116</v>
      </c>
      <c r="O41" s="117"/>
      <c r="P41" s="362">
        <v>80</v>
      </c>
      <c r="Q41" s="363">
        <v>0.9</v>
      </c>
      <c r="R41" s="351">
        <v>6</v>
      </c>
      <c r="S41" s="364">
        <f t="shared" si="0"/>
        <v>1.6199999999999999</v>
      </c>
      <c r="T41" s="117"/>
      <c r="U41" s="117"/>
    </row>
    <row r="42" spans="1:21" ht="12.75">
      <c r="A42" s="117"/>
      <c r="B42" s="239" t="s">
        <v>54</v>
      </c>
      <c r="C42" s="240">
        <f>(QnSat/(204*Pgaz1))*SQRT(dGaz*(tempGaz+273.15)*Zgaz/(gamma*Xt))</f>
        <v>6.340422231364619</v>
      </c>
      <c r="D42" s="225"/>
      <c r="E42" s="117"/>
      <c r="F42" s="117"/>
      <c r="G42" s="117"/>
      <c r="H42" s="117"/>
      <c r="I42" s="244" t="s">
        <v>68</v>
      </c>
      <c r="J42" s="376">
        <f>Xt*gamma/1.4</f>
        <v>0.68</v>
      </c>
      <c r="K42" s="117"/>
      <c r="L42" s="117"/>
      <c r="M42" s="117"/>
      <c r="N42" s="117"/>
      <c r="O42" s="117"/>
      <c r="P42" s="362">
        <v>100</v>
      </c>
      <c r="Q42" s="363">
        <v>1.7</v>
      </c>
      <c r="R42" s="351">
        <v>11</v>
      </c>
      <c r="S42" s="364">
        <f t="shared" si="0"/>
        <v>3.0599999999999996</v>
      </c>
      <c r="T42" s="117"/>
      <c r="U42" s="117"/>
    </row>
    <row r="43" spans="1:21" ht="12.75">
      <c r="A43" s="117"/>
      <c r="B43" s="117"/>
      <c r="C43" s="117"/>
      <c r="D43" s="117"/>
      <c r="E43" s="117"/>
      <c r="F43" s="117"/>
      <c r="G43" s="117"/>
      <c r="H43" s="117"/>
      <c r="I43" s="245" t="s">
        <v>69</v>
      </c>
      <c r="J43" s="246">
        <f>1-((dpvGaz/Pgaz1)/(3*(gamma/1.4)*Xt))</f>
        <v>0.8949579831932774</v>
      </c>
      <c r="K43" s="117"/>
      <c r="L43" s="117"/>
      <c r="M43" s="117"/>
      <c r="N43" s="117"/>
      <c r="O43" s="117"/>
      <c r="P43" s="362">
        <v>150</v>
      </c>
      <c r="Q43" s="363">
        <v>4</v>
      </c>
      <c r="R43" s="351">
        <v>27</v>
      </c>
      <c r="S43" s="364">
        <f t="shared" si="0"/>
        <v>7.199999999999999</v>
      </c>
      <c r="T43" s="117"/>
      <c r="U43" s="117"/>
    </row>
    <row r="44" spans="1:21" ht="12.75">
      <c r="A44" s="117"/>
      <c r="B44" s="117"/>
      <c r="C44" s="117"/>
      <c r="D44" s="117"/>
      <c r="E44" s="117"/>
      <c r="F44" s="230"/>
      <c r="G44" s="117"/>
      <c r="H44" s="117"/>
      <c r="I44" s="117"/>
      <c r="J44" s="117"/>
      <c r="K44" s="117"/>
      <c r="L44" s="117"/>
      <c r="M44" s="117"/>
      <c r="N44" s="117"/>
      <c r="O44" s="117"/>
      <c r="P44" s="362">
        <v>200</v>
      </c>
      <c r="Q44" s="363">
        <v>6.75</v>
      </c>
      <c r="R44" s="351">
        <v>45</v>
      </c>
      <c r="S44" s="364">
        <f t="shared" si="0"/>
        <v>12.149999999999999</v>
      </c>
      <c r="T44" s="117"/>
      <c r="U44" s="117"/>
    </row>
    <row r="45" spans="1:21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362">
        <v>250</v>
      </c>
      <c r="Q45" s="363">
        <v>11.1</v>
      </c>
      <c r="R45" s="351" t="s">
        <v>148</v>
      </c>
      <c r="S45" s="364">
        <f t="shared" si="0"/>
        <v>19.979999999999997</v>
      </c>
      <c r="T45" s="117"/>
      <c r="U45" s="117"/>
    </row>
    <row r="46" spans="1:21" ht="12.75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117"/>
      <c r="L46" s="117"/>
      <c r="M46" s="117"/>
      <c r="N46" s="117"/>
      <c r="O46" s="117"/>
      <c r="P46" s="362">
        <v>300</v>
      </c>
      <c r="Q46" s="363">
        <v>16</v>
      </c>
      <c r="R46" s="351" t="s">
        <v>148</v>
      </c>
      <c r="S46" s="364">
        <f t="shared" si="0"/>
        <v>28.799999999999997</v>
      </c>
      <c r="T46" s="117"/>
      <c r="U46" s="117"/>
    </row>
    <row r="47" spans="1:21" ht="12.75">
      <c r="A47" s="247"/>
      <c r="B47" s="247"/>
      <c r="C47" s="247"/>
      <c r="D47" s="247"/>
      <c r="E47" s="248" t="s">
        <v>6</v>
      </c>
      <c r="F47" s="247"/>
      <c r="G47" s="248" t="s">
        <v>5</v>
      </c>
      <c r="H47" s="247"/>
      <c r="I47" s="247"/>
      <c r="J47" s="247"/>
      <c r="K47" s="117"/>
      <c r="L47" s="117"/>
      <c r="M47" s="117"/>
      <c r="N47" s="117"/>
      <c r="O47" s="117"/>
      <c r="P47" s="362">
        <v>350</v>
      </c>
      <c r="Q47" s="363">
        <v>21.6</v>
      </c>
      <c r="R47" s="351" t="s">
        <v>148</v>
      </c>
      <c r="S47" s="364">
        <f t="shared" si="0"/>
        <v>38.879999999999995</v>
      </c>
      <c r="T47" s="117"/>
      <c r="U47" s="117"/>
    </row>
    <row r="48" spans="1:21" ht="12.75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117"/>
      <c r="L48" s="117"/>
      <c r="M48" s="117"/>
      <c r="N48" s="117"/>
      <c r="O48" s="117"/>
      <c r="P48" s="359">
        <v>400</v>
      </c>
      <c r="Q48" s="360">
        <v>28.4</v>
      </c>
      <c r="R48" s="366" t="s">
        <v>148</v>
      </c>
      <c r="S48" s="361">
        <f t="shared" si="0"/>
        <v>51.11999999999999</v>
      </c>
      <c r="T48" s="117"/>
      <c r="U48" s="117"/>
    </row>
    <row r="49" spans="1:21" ht="13.5" thickBo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1:21" ht="13.5" thickBot="1">
      <c r="A50" s="249"/>
      <c r="B50" s="122"/>
      <c r="C50" s="250" t="s">
        <v>75</v>
      </c>
      <c r="D50" s="309">
        <v>0.3</v>
      </c>
      <c r="E50" s="123" t="s">
        <v>73</v>
      </c>
      <c r="F50" s="248"/>
      <c r="G50" s="117"/>
      <c r="H50" s="251" t="s">
        <v>43</v>
      </c>
      <c r="I50" s="300">
        <v>25</v>
      </c>
      <c r="J50" s="24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1:21" ht="12.75">
      <c r="A51" s="252"/>
      <c r="B51" s="114" t="s">
        <v>72</v>
      </c>
      <c r="C51" s="114"/>
      <c r="D51" s="114"/>
      <c r="E51" s="125"/>
      <c r="F51" s="247"/>
      <c r="G51" s="247"/>
      <c r="H51" s="247"/>
      <c r="I51" s="247"/>
      <c r="J51" s="24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1:21" ht="12.75">
      <c r="A52" s="253"/>
      <c r="B52" s="254"/>
      <c r="C52" s="237" t="s">
        <v>74</v>
      </c>
      <c r="D52" s="254"/>
      <c r="E52" s="130"/>
      <c r="F52" s="247"/>
      <c r="G52" s="247"/>
      <c r="H52" s="247"/>
      <c r="I52" s="247"/>
      <c r="J52" s="24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1:21" ht="13.5" thickBot="1">
      <c r="A53" s="247"/>
      <c r="B53" s="117"/>
      <c r="C53" s="117"/>
      <c r="D53" s="117"/>
      <c r="E53" s="117"/>
      <c r="F53" s="117"/>
      <c r="G53" s="326"/>
      <c r="H53" s="327"/>
      <c r="I53" s="328" t="s">
        <v>118</v>
      </c>
      <c r="J53" s="348">
        <v>40</v>
      </c>
      <c r="K53" s="327" t="s">
        <v>119</v>
      </c>
      <c r="L53" s="329"/>
      <c r="M53" s="117"/>
      <c r="N53" s="117"/>
      <c r="O53" s="117"/>
      <c r="P53" s="117"/>
      <c r="Q53" s="117"/>
      <c r="R53" s="117"/>
      <c r="S53" s="117"/>
      <c r="T53" s="117"/>
      <c r="U53" s="117"/>
    </row>
    <row r="54" spans="1:21" ht="13.5" thickBot="1">
      <c r="A54" s="260"/>
      <c r="B54" s="261"/>
      <c r="C54" s="262" t="s">
        <v>77</v>
      </c>
      <c r="D54" s="263">
        <f>mach*vitesseSon</f>
        <v>304.1348965714063</v>
      </c>
      <c r="E54" s="264" t="s">
        <v>41</v>
      </c>
      <c r="F54" s="24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1:21" ht="13.5" thickBot="1">
      <c r="A55" s="117"/>
      <c r="B55" s="117"/>
      <c r="C55" s="117"/>
      <c r="D55" s="230"/>
      <c r="E55" s="117"/>
      <c r="F55" s="117"/>
      <c r="G55" s="255"/>
      <c r="H55" s="256"/>
      <c r="I55" s="257" t="s">
        <v>71</v>
      </c>
      <c r="J55" s="258">
        <f>1.313*QnGaz*(tempGaz+273.15)/((Pgaz2*DNGaz*DNGaz)*(J53/100))</f>
        <v>24512.70487462727</v>
      </c>
      <c r="K55" s="259" t="s">
        <v>41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/>
    </row>
    <row r="56" spans="1:21" ht="13.5" thickBot="1">
      <c r="A56" s="117"/>
      <c r="B56" s="117"/>
      <c r="C56" s="265" t="s">
        <v>78</v>
      </c>
      <c r="D56" s="266">
        <f>SQRT(1.313*QnGaz*(tempGaz+273.15)/(Pgaz2*D54))</f>
        <v>141.9490516887566</v>
      </c>
      <c r="E56" s="267" t="s">
        <v>42</v>
      </c>
      <c r="F56" s="117"/>
      <c r="G56" s="247"/>
      <c r="H56" s="247"/>
      <c r="I56" s="24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</row>
    <row r="57" spans="1:21" ht="12.75">
      <c r="A57" s="117"/>
      <c r="B57" s="117"/>
      <c r="C57" s="272"/>
      <c r="D57" s="273"/>
      <c r="E57" s="274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</row>
    <row r="58" spans="1:21" ht="12.75">
      <c r="A58" s="117"/>
      <c r="B58" s="117" t="s">
        <v>328</v>
      </c>
      <c r="C58" s="229"/>
      <c r="D58" s="248"/>
      <c r="E58" s="247"/>
      <c r="F58" s="117"/>
      <c r="G58" s="268"/>
      <c r="H58" s="269" t="s">
        <v>76</v>
      </c>
      <c r="I58" s="270">
        <f>J55/vitesseSon</f>
        <v>24.179439930404754</v>
      </c>
      <c r="J58" s="271" t="s">
        <v>73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</row>
    <row r="59" spans="1:2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</row>
    <row r="60" spans="1:21" ht="12.75">
      <c r="A60" s="117"/>
      <c r="B60" s="117"/>
      <c r="C60" s="117"/>
      <c r="D60" s="117"/>
      <c r="E60" s="276"/>
      <c r="F60" s="115"/>
      <c r="G60" s="277"/>
      <c r="H60" s="114"/>
      <c r="I60" s="282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1:21" ht="12.75">
      <c r="A61" s="117"/>
      <c r="B61" s="117"/>
      <c r="C61" s="278"/>
      <c r="D61" s="268"/>
      <c r="E61" s="275"/>
      <c r="F61" s="269" t="s">
        <v>106</v>
      </c>
      <c r="G61" s="269">
        <f>tempGaz</f>
        <v>320</v>
      </c>
      <c r="H61" s="269" t="s">
        <v>105</v>
      </c>
      <c r="I61" s="325">
        <f>SQRT(gamma*8317*(tempGaz+273.15)/(22.4*dGaz))</f>
        <v>1013.7829885713543</v>
      </c>
      <c r="J61" s="271" t="s">
        <v>41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1:2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12.75">
      <c r="A63" s="117"/>
      <c r="B63" s="117"/>
      <c r="C63" s="117"/>
      <c r="D63" s="117"/>
      <c r="E63" s="210"/>
      <c r="F63" s="114"/>
      <c r="G63" s="114"/>
      <c r="H63" s="114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1:21" ht="12.75">
      <c r="A64" s="117"/>
      <c r="B64" s="117"/>
      <c r="C64" s="117"/>
      <c r="D64" s="117"/>
      <c r="E64" s="114"/>
      <c r="F64" s="114"/>
      <c r="G64" s="114"/>
      <c r="H64" s="27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1:2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1:2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1:2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1:21" ht="12.7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2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1:21" ht="12.7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</row>
    <row r="71" spans="1:21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</sheetData>
  <mergeCells count="5">
    <mergeCell ref="D1:F1"/>
    <mergeCell ref="Q35:R35"/>
    <mergeCell ref="M29:P29"/>
    <mergeCell ref="B34:C34"/>
    <mergeCell ref="B35:C35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S48"/>
  <sheetViews>
    <sheetView showGridLines="0" tabSelected="1" zoomScale="75" zoomScaleNormal="75" workbookViewId="0" topLeftCell="A1">
      <selection activeCell="C4" sqref="C4"/>
    </sheetView>
  </sheetViews>
  <sheetFormatPr defaultColWidth="11.421875" defaultRowHeight="12.75"/>
  <sheetData>
    <row r="1" spans="1:19" ht="30" customHeight="1" thickBot="1">
      <c r="A1" s="132"/>
      <c r="B1" s="132"/>
      <c r="C1" s="437" t="s">
        <v>82</v>
      </c>
      <c r="D1" s="438"/>
      <c r="E1" s="438"/>
      <c r="F1" s="438"/>
      <c r="G1" s="439"/>
      <c r="H1" s="132"/>
      <c r="I1" s="132"/>
      <c r="J1" s="132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4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6.5" thickBot="1">
      <c r="A3" s="132"/>
      <c r="B3" s="142" t="s">
        <v>45</v>
      </c>
      <c r="C3" s="138"/>
      <c r="D3" s="143"/>
      <c r="E3" s="138"/>
      <c r="F3" s="138"/>
      <c r="G3" s="138"/>
      <c r="H3" s="138"/>
      <c r="I3" s="138"/>
      <c r="J3" s="132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.75">
      <c r="A4" s="144"/>
      <c r="B4" s="145" t="s">
        <v>13</v>
      </c>
      <c r="C4" s="302">
        <v>12</v>
      </c>
      <c r="D4" s="146" t="s">
        <v>62</v>
      </c>
      <c r="E4" s="144"/>
      <c r="F4" s="172"/>
      <c r="G4" s="173" t="s">
        <v>95</v>
      </c>
      <c r="H4" s="312">
        <v>0.7</v>
      </c>
      <c r="I4" s="172"/>
      <c r="J4" s="182"/>
      <c r="K4" s="183"/>
      <c r="L4" s="159"/>
      <c r="M4" s="159"/>
      <c r="N4" s="159"/>
      <c r="O4" s="159"/>
      <c r="P4" s="159"/>
      <c r="Q4" s="159"/>
      <c r="R4" s="159"/>
      <c r="S4" s="159"/>
    </row>
    <row r="5" spans="1:19" ht="12.75">
      <c r="A5" s="147"/>
      <c r="B5" s="135" t="s">
        <v>14</v>
      </c>
      <c r="C5" s="303">
        <v>9</v>
      </c>
      <c r="D5" s="149" t="s">
        <v>62</v>
      </c>
      <c r="E5" s="147"/>
      <c r="F5" s="135" t="s">
        <v>50</v>
      </c>
      <c r="G5" s="310">
        <v>1.32</v>
      </c>
      <c r="H5" s="137" t="s">
        <v>85</v>
      </c>
      <c r="I5" s="162"/>
      <c r="J5" s="137"/>
      <c r="K5" s="184"/>
      <c r="L5" s="159"/>
      <c r="M5" s="159"/>
      <c r="N5" s="159"/>
      <c r="O5" s="159"/>
      <c r="P5" s="159"/>
      <c r="Q5" s="159"/>
      <c r="R5" s="159"/>
      <c r="S5" s="159"/>
    </row>
    <row r="6" spans="1:19" ht="13.5" thickBot="1">
      <c r="A6" s="150"/>
      <c r="B6" s="174"/>
      <c r="C6" s="174"/>
      <c r="D6" s="175"/>
      <c r="E6" s="150"/>
      <c r="F6" s="151" t="s">
        <v>84</v>
      </c>
      <c r="G6" s="311">
        <v>12000</v>
      </c>
      <c r="H6" s="176" t="s">
        <v>86</v>
      </c>
      <c r="I6" s="174"/>
      <c r="J6" s="176"/>
      <c r="K6" s="175"/>
      <c r="L6" s="159"/>
      <c r="M6" s="159"/>
      <c r="N6" s="159"/>
      <c r="O6" s="159"/>
      <c r="P6" s="159"/>
      <c r="Q6" s="159"/>
      <c r="R6" s="159"/>
      <c r="S6" s="159"/>
    </row>
    <row r="7" spans="1:19" ht="12.75">
      <c r="A7" s="132"/>
      <c r="B7" s="137"/>
      <c r="C7" s="152"/>
      <c r="D7" s="134"/>
      <c r="E7" s="132"/>
      <c r="F7" s="135"/>
      <c r="G7" s="134"/>
      <c r="H7" s="132"/>
      <c r="I7" s="132"/>
      <c r="J7" s="132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3.5" thickBot="1">
      <c r="A8" s="132"/>
      <c r="B8" s="137"/>
      <c r="C8" s="152"/>
      <c r="D8" s="134"/>
      <c r="E8" s="132"/>
      <c r="F8" s="135"/>
      <c r="G8" s="134"/>
      <c r="H8" s="132"/>
      <c r="I8" s="132"/>
      <c r="J8" s="132"/>
      <c r="K8" s="159"/>
      <c r="L8" s="159"/>
      <c r="M8" s="159"/>
      <c r="N8" s="159"/>
      <c r="O8" s="159"/>
      <c r="P8" s="159"/>
      <c r="Q8" s="159"/>
      <c r="R8" s="159"/>
      <c r="S8" s="159"/>
    </row>
    <row r="9" spans="1:19" ht="16.5" thickBot="1">
      <c r="A9" s="132"/>
      <c r="B9" s="161"/>
      <c r="C9" s="177" t="s">
        <v>87</v>
      </c>
      <c r="D9" s="178"/>
      <c r="E9" s="132"/>
      <c r="F9" s="179"/>
      <c r="G9" s="180" t="s">
        <v>88</v>
      </c>
      <c r="H9" s="181"/>
      <c r="I9" s="132"/>
      <c r="J9" s="132"/>
      <c r="K9" s="159"/>
      <c r="L9" s="159"/>
      <c r="M9" s="159"/>
      <c r="N9" s="159"/>
      <c r="O9" s="159"/>
      <c r="P9" s="159"/>
      <c r="Q9" s="159"/>
      <c r="R9" s="159"/>
      <c r="S9" s="159"/>
    </row>
    <row r="10" spans="1:19" ht="12.75">
      <c r="A10" s="132"/>
      <c r="B10" s="137"/>
      <c r="C10" s="152"/>
      <c r="D10" s="148"/>
      <c r="E10" s="132"/>
      <c r="F10" s="133"/>
      <c r="G10" s="134"/>
      <c r="H10" s="132"/>
      <c r="I10" s="132"/>
      <c r="J10" s="132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2.75">
      <c r="A11" s="159"/>
      <c r="B11" s="187" t="s">
        <v>55</v>
      </c>
      <c r="C11" s="299">
        <v>186</v>
      </c>
      <c r="D11" s="185" t="s">
        <v>56</v>
      </c>
      <c r="E11" s="132"/>
      <c r="F11" s="188" t="s">
        <v>91</v>
      </c>
      <c r="G11" s="189"/>
      <c r="H11" s="299">
        <v>500</v>
      </c>
      <c r="I11" s="185" t="s">
        <v>56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2.75">
      <c r="A12" s="159"/>
      <c r="B12" s="159"/>
      <c r="C12" s="159"/>
      <c r="D12" s="159"/>
      <c r="E12" s="132"/>
      <c r="F12" s="135"/>
      <c r="G12" s="132"/>
      <c r="H12" s="159"/>
      <c r="I12" s="159"/>
      <c r="J12" s="132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2.75">
      <c r="A13" s="158"/>
      <c r="B13" s="190" t="s">
        <v>92</v>
      </c>
      <c r="C13" s="313">
        <v>6</v>
      </c>
      <c r="D13" s="136" t="s">
        <v>83</v>
      </c>
      <c r="E13" s="132"/>
      <c r="F13" s="164"/>
      <c r="G13" s="189"/>
      <c r="H13" s="189"/>
      <c r="I13" s="191" t="s">
        <v>96</v>
      </c>
      <c r="J13" s="299">
        <v>200</v>
      </c>
      <c r="K13" s="185" t="s">
        <v>56</v>
      </c>
      <c r="L13" s="159"/>
      <c r="M13" s="159"/>
      <c r="N13" s="159"/>
      <c r="O13" s="159"/>
      <c r="P13" s="159"/>
      <c r="Q13" s="159"/>
      <c r="R13" s="159"/>
      <c r="S13" s="159"/>
    </row>
    <row r="14" spans="1:19" ht="12.75">
      <c r="A14" s="168"/>
      <c r="B14" s="192" t="s">
        <v>89</v>
      </c>
      <c r="C14" s="192"/>
      <c r="D14" s="193"/>
      <c r="E14" s="153"/>
      <c r="F14" s="194" t="s">
        <v>90</v>
      </c>
      <c r="G14" s="189"/>
      <c r="H14" s="189"/>
      <c r="I14" s="189"/>
      <c r="J14" s="314">
        <v>42</v>
      </c>
      <c r="K14" s="160" t="s">
        <v>83</v>
      </c>
      <c r="L14" s="159"/>
      <c r="M14" s="159"/>
      <c r="N14" s="159"/>
      <c r="O14" s="159"/>
      <c r="P14" s="159"/>
      <c r="Q14" s="159"/>
      <c r="R14" s="159"/>
      <c r="S14" s="159"/>
    </row>
    <row r="15" spans="1:19" ht="12.75">
      <c r="A15" s="132"/>
      <c r="B15" s="139"/>
      <c r="C15" s="132"/>
      <c r="D15" s="132"/>
      <c r="E15" s="132"/>
      <c r="F15" s="132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ht="12.75">
      <c r="A16" s="132"/>
      <c r="B16" s="132"/>
      <c r="C16" s="132"/>
      <c r="D16" s="154"/>
      <c r="E16" s="152"/>
      <c r="F16" s="194" t="s">
        <v>93</v>
      </c>
      <c r="G16" s="189"/>
      <c r="H16" s="189"/>
      <c r="I16" s="189"/>
      <c r="J16" s="337">
        <f>MVVSatSur*(1/(1+0.00252*(TempVSur-J13)))</f>
        <v>23.917995444191344</v>
      </c>
      <c r="K16" s="160" t="s">
        <v>83</v>
      </c>
      <c r="L16" s="159"/>
      <c r="M16" s="159"/>
      <c r="N16" s="159"/>
      <c r="O16" s="159"/>
      <c r="P16" s="159"/>
      <c r="Q16" s="159"/>
      <c r="R16" s="159"/>
      <c r="S16" s="159"/>
    </row>
    <row r="17" spans="1:19" ht="12.75">
      <c r="A17" s="132"/>
      <c r="B17" s="159"/>
      <c r="C17" s="159"/>
      <c r="D17" s="159"/>
      <c r="E17" s="132"/>
      <c r="F17" s="132"/>
      <c r="G17" s="138"/>
      <c r="H17" s="132"/>
      <c r="I17" s="132"/>
      <c r="J17" s="132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19" ht="13.5" thickBot="1">
      <c r="A18" s="132"/>
      <c r="B18" s="139"/>
      <c r="C18" s="139"/>
      <c r="D18" s="139"/>
      <c r="E18" s="139"/>
      <c r="F18" s="132"/>
      <c r="G18" s="138"/>
      <c r="H18" s="132"/>
      <c r="I18" s="132"/>
      <c r="J18" s="132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ht="13.5" thickBot="1">
      <c r="A19" s="132"/>
      <c r="B19" s="169" t="s">
        <v>94</v>
      </c>
      <c r="C19" s="170">
        <f>QmV/(19.3*P1V*(1-(((P1V-P2V)/P1V)/(2.052*KmV)))*SQRT((P1V-P2V)/P1V))</f>
        <v>125.46336895873439</v>
      </c>
      <c r="D19" s="139"/>
      <c r="E19" s="155"/>
      <c r="F19" s="138"/>
      <c r="G19" s="169" t="s">
        <v>94</v>
      </c>
      <c r="H19" s="170">
        <f>(QmV/(19.3*P1V*(1-(((P1V-P2V)/P1V)/(2.34*KmV)))*SQRT((P1V-P2V)/P1V)))*(1+0.00126*(TempVSur-Tsat))</f>
        <v>168.51801526033654</v>
      </c>
      <c r="I19" s="132"/>
      <c r="J19" s="132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ht="12.75">
      <c r="A20" s="132"/>
      <c r="B20" s="139"/>
      <c r="C20" s="156"/>
      <c r="D20" s="159"/>
      <c r="E20" s="159"/>
      <c r="F20" s="159"/>
      <c r="G20" s="138"/>
      <c r="H20" s="141"/>
      <c r="I20" s="132"/>
      <c r="J20" s="132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ht="13.5" thickBot="1">
      <c r="A21" s="132"/>
      <c r="B21" s="139"/>
      <c r="C21" s="13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ht="13.5" thickBot="1">
      <c r="A22" s="132"/>
      <c r="B22" s="163" t="s">
        <v>97</v>
      </c>
      <c r="C22" s="195">
        <f>1.22*SQRT(QmV/P2V)</f>
        <v>44.54810134375351</v>
      </c>
      <c r="D22" s="138"/>
      <c r="E22" s="138"/>
      <c r="F22" s="138"/>
      <c r="G22" s="163" t="s">
        <v>97</v>
      </c>
      <c r="H22" s="195">
        <f>0.25*SQRT((QmV/P2V)*(SQRT(TempVSur)))</f>
        <v>43.167001068522524</v>
      </c>
      <c r="I22" s="132"/>
      <c r="J22" s="132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ht="12.75">
      <c r="A23" s="137"/>
      <c r="B23" s="167"/>
      <c r="C23" s="157"/>
      <c r="D23" s="138"/>
      <c r="E23" s="165"/>
      <c r="F23" s="166"/>
      <c r="G23" s="139"/>
      <c r="H23" s="196"/>
      <c r="I23" s="137"/>
      <c r="J23" s="137"/>
      <c r="K23" s="137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37"/>
      <c r="B24" s="167"/>
      <c r="C24" s="157"/>
      <c r="D24" s="333" t="s">
        <v>112</v>
      </c>
      <c r="E24" s="334">
        <v>150</v>
      </c>
      <c r="F24" s="140"/>
      <c r="G24" s="132"/>
      <c r="H24" s="137"/>
      <c r="I24" s="333" t="s">
        <v>112</v>
      </c>
      <c r="J24" s="334">
        <v>220</v>
      </c>
      <c r="K24" s="140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9"/>
      <c r="B25" s="159"/>
      <c r="C25" s="159"/>
      <c r="D25" s="335" t="s">
        <v>117</v>
      </c>
      <c r="E25" s="338">
        <f>100*C19/E24</f>
        <v>83.64224597248959</v>
      </c>
      <c r="F25" s="336" t="s">
        <v>116</v>
      </c>
      <c r="G25" s="159"/>
      <c r="H25" s="135"/>
      <c r="I25" s="335" t="s">
        <v>117</v>
      </c>
      <c r="J25" s="338">
        <f>100*H19/J24</f>
        <v>76.59909784560752</v>
      </c>
      <c r="K25" s="336" t="s">
        <v>116</v>
      </c>
      <c r="L25" s="159"/>
      <c r="M25" s="159"/>
      <c r="N25" s="159"/>
      <c r="O25" s="159"/>
      <c r="P25" s="159"/>
      <c r="Q25" s="159"/>
      <c r="R25" s="159"/>
      <c r="S25" s="159"/>
    </row>
    <row r="26" spans="1:19" ht="13.5" thickBot="1">
      <c r="A26" s="159"/>
      <c r="B26" s="412"/>
      <c r="C26" s="159"/>
      <c r="D26" s="159"/>
      <c r="E26" s="159"/>
      <c r="F26" s="159"/>
      <c r="G26" s="159"/>
      <c r="H26" s="196"/>
      <c r="I26" s="171"/>
      <c r="J26" s="186"/>
      <c r="K26" s="137"/>
      <c r="L26" s="159"/>
      <c r="M26" s="159"/>
      <c r="N26" s="159"/>
      <c r="O26" s="159"/>
      <c r="P26" s="159"/>
      <c r="Q26" s="159"/>
      <c r="R26" s="159"/>
      <c r="S26" s="159"/>
    </row>
    <row r="27" spans="1:19" ht="13.5" thickBot="1">
      <c r="A27" s="159"/>
      <c r="B27" s="159"/>
      <c r="C27" s="159"/>
      <c r="D27" s="415" t="s">
        <v>313</v>
      </c>
      <c r="E27" s="416">
        <v>200</v>
      </c>
      <c r="F27" s="159"/>
      <c r="G27" s="159"/>
      <c r="H27" s="159"/>
      <c r="I27" s="415" t="s">
        <v>313</v>
      </c>
      <c r="J27" s="416">
        <v>80</v>
      </c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3.5" thickBo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  <row r="30" spans="1:19" ht="13.5" thickBot="1">
      <c r="A30" s="159"/>
      <c r="B30" s="161"/>
      <c r="C30" s="413" t="s">
        <v>312</v>
      </c>
      <c r="D30" s="414">
        <f>(QmV/MVVSat)/(3600*(3.14159/4)*DNsat*DNsat*POWER(10,-6))</f>
        <v>17.683897502715364</v>
      </c>
      <c r="E30" s="159"/>
      <c r="F30" s="159"/>
      <c r="G30" s="159"/>
      <c r="H30" s="161"/>
      <c r="I30" s="413" t="s">
        <v>312</v>
      </c>
      <c r="J30" s="414">
        <f>(QmV/MVVSur)/(3600*(3.14159/4)*DNsur*DNsur*POWER(10,-6))</f>
        <v>27.72582501318587</v>
      </c>
      <c r="K30" s="159"/>
      <c r="L30" s="159"/>
      <c r="M30" s="159"/>
      <c r="N30" s="159"/>
      <c r="O30" s="159"/>
      <c r="P30" s="159"/>
      <c r="Q30" s="159"/>
      <c r="R30" s="159"/>
      <c r="S30" s="159"/>
    </row>
    <row r="31" spans="1:19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</row>
    <row r="32" spans="1:19" ht="13.5" thickBo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</row>
    <row r="33" spans="1:19" ht="12.75">
      <c r="A33" s="422"/>
      <c r="B33" s="423" t="s">
        <v>314</v>
      </c>
      <c r="C33" s="172"/>
      <c r="D33" s="429" t="s">
        <v>87</v>
      </c>
      <c r="E33" s="417" t="s">
        <v>318</v>
      </c>
      <c r="F33" s="172"/>
      <c r="G33" s="172"/>
      <c r="H33" s="172"/>
      <c r="I33" s="183"/>
      <c r="J33" s="162"/>
      <c r="K33" s="159"/>
      <c r="L33" s="159"/>
      <c r="M33" s="159"/>
      <c r="N33" s="159"/>
      <c r="O33" s="159"/>
      <c r="P33" s="159"/>
      <c r="Q33" s="159"/>
      <c r="R33" s="159"/>
      <c r="S33" s="159"/>
    </row>
    <row r="34" spans="1:19" ht="12.75">
      <c r="A34" s="418"/>
      <c r="B34" s="162"/>
      <c r="C34" s="162"/>
      <c r="D34" s="426"/>
      <c r="E34" s="162"/>
      <c r="F34" s="162"/>
      <c r="G34" s="162"/>
      <c r="H34" s="162"/>
      <c r="I34" s="184"/>
      <c r="J34" s="162"/>
      <c r="K34" s="159"/>
      <c r="L34" s="159"/>
      <c r="M34" s="159"/>
      <c r="N34" s="159"/>
      <c r="O34" s="159"/>
      <c r="P34" s="159"/>
      <c r="Q34" s="159"/>
      <c r="R34" s="159"/>
      <c r="S34" s="159"/>
    </row>
    <row r="35" spans="1:19" ht="12.75">
      <c r="A35" s="418"/>
      <c r="B35" s="162"/>
      <c r="C35" s="424" t="s">
        <v>322</v>
      </c>
      <c r="D35" s="427" t="s">
        <v>315</v>
      </c>
      <c r="E35" s="419" t="s">
        <v>319</v>
      </c>
      <c r="F35" s="424" t="s">
        <v>326</v>
      </c>
      <c r="G35" s="162" t="s">
        <v>327</v>
      </c>
      <c r="H35" s="162"/>
      <c r="I35" s="184"/>
      <c r="J35" s="162"/>
      <c r="K35" s="159"/>
      <c r="L35" s="159"/>
      <c r="M35" s="159"/>
      <c r="N35" s="159"/>
      <c r="O35" s="159"/>
      <c r="P35" s="159"/>
      <c r="Q35" s="159"/>
      <c r="R35" s="159"/>
      <c r="S35" s="159"/>
    </row>
    <row r="36" spans="1:19" ht="12.75">
      <c r="A36" s="418"/>
      <c r="B36" s="162"/>
      <c r="C36" s="424" t="s">
        <v>323</v>
      </c>
      <c r="D36" s="427" t="s">
        <v>316</v>
      </c>
      <c r="E36" s="419" t="s">
        <v>320</v>
      </c>
      <c r="F36" s="162"/>
      <c r="G36" s="162" t="s">
        <v>325</v>
      </c>
      <c r="H36" s="162"/>
      <c r="I36" s="184"/>
      <c r="J36" s="162"/>
      <c r="K36" s="159"/>
      <c r="L36" s="159"/>
      <c r="M36" s="159"/>
      <c r="N36" s="159"/>
      <c r="O36" s="159"/>
      <c r="P36" s="159"/>
      <c r="Q36" s="159"/>
      <c r="R36" s="159"/>
      <c r="S36" s="159"/>
    </row>
    <row r="37" spans="1:19" ht="13.5" thickBot="1">
      <c r="A37" s="420"/>
      <c r="B37" s="174"/>
      <c r="C37" s="425" t="s">
        <v>324</v>
      </c>
      <c r="D37" s="428" t="s">
        <v>317</v>
      </c>
      <c r="E37" s="421" t="s">
        <v>321</v>
      </c>
      <c r="F37" s="174"/>
      <c r="G37" s="174"/>
      <c r="H37" s="174"/>
      <c r="I37" s="175"/>
      <c r="J37" s="162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19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19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19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</row>
    <row r="41" spans="1:19" ht="12.7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</row>
    <row r="42" spans="1:19" ht="12.7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</row>
    <row r="43" spans="1:19" ht="12.7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</row>
    <row r="44" spans="1:19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</row>
    <row r="47" spans="1:19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</row>
    <row r="48" spans="1:19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</sheetData>
  <mergeCells count="1">
    <mergeCell ref="C1:G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E71"/>
  <sheetViews>
    <sheetView workbookViewId="0" topLeftCell="A1">
      <selection activeCell="B1" sqref="B1"/>
    </sheetView>
  </sheetViews>
  <sheetFormatPr defaultColWidth="11.421875" defaultRowHeight="12.75"/>
  <cols>
    <col min="1" max="1" width="24.8515625" style="0" bestFit="1" customWidth="1"/>
  </cols>
  <sheetData>
    <row r="1" ht="12.75">
      <c r="A1" s="396" t="s">
        <v>174</v>
      </c>
    </row>
    <row r="3" ht="12.75">
      <c r="A3" s="396" t="s">
        <v>175</v>
      </c>
    </row>
    <row r="6" ht="12.75">
      <c r="A6" s="396" t="s">
        <v>176</v>
      </c>
    </row>
    <row r="7" spans="1:3" ht="12.75">
      <c r="A7" s="398" t="s">
        <v>177</v>
      </c>
      <c r="C7" t="s">
        <v>178</v>
      </c>
    </row>
    <row r="8" ht="12.75">
      <c r="C8" t="s">
        <v>179</v>
      </c>
    </row>
    <row r="11" ht="12.75">
      <c r="A11" s="396" t="s">
        <v>180</v>
      </c>
    </row>
    <row r="12" spans="2:5" ht="12.75">
      <c r="B12" s="398" t="s">
        <v>184</v>
      </c>
      <c r="C12" s="398" t="s">
        <v>183</v>
      </c>
      <c r="D12" s="398" t="s">
        <v>182</v>
      </c>
      <c r="E12" s="398" t="s">
        <v>195</v>
      </c>
    </row>
    <row r="13" ht="12.75">
      <c r="A13" s="397" t="s">
        <v>181</v>
      </c>
    </row>
    <row r="14" ht="12.75">
      <c r="A14" s="397" t="s">
        <v>185</v>
      </c>
    </row>
    <row r="15" ht="12.75">
      <c r="A15" s="397" t="s">
        <v>186</v>
      </c>
    </row>
    <row r="16" ht="12.75">
      <c r="A16" s="397"/>
    </row>
    <row r="17" ht="12.75">
      <c r="A17" s="397" t="s">
        <v>288</v>
      </c>
    </row>
    <row r="19" ht="12.75">
      <c r="A19" s="397" t="s">
        <v>292</v>
      </c>
    </row>
    <row r="20" ht="12.75">
      <c r="A20" s="397"/>
    </row>
    <row r="22" ht="12.75">
      <c r="A22" s="396" t="s">
        <v>188</v>
      </c>
    </row>
    <row r="24" ht="12.75">
      <c r="A24" s="397" t="s">
        <v>190</v>
      </c>
    </row>
    <row r="25" ht="12.75">
      <c r="A25" s="397"/>
    </row>
    <row r="26" ht="12.75">
      <c r="A26" s="397" t="s">
        <v>278</v>
      </c>
    </row>
    <row r="27" ht="12.75">
      <c r="A27" s="397"/>
    </row>
    <row r="28" ht="12.75">
      <c r="A28" s="397" t="s">
        <v>196</v>
      </c>
    </row>
    <row r="29" ht="12.75">
      <c r="A29" s="397"/>
    </row>
    <row r="30" ht="12.75">
      <c r="A30" s="397" t="s">
        <v>187</v>
      </c>
    </row>
    <row r="31" ht="12.75">
      <c r="A31" s="397"/>
    </row>
    <row r="32" ht="12.75">
      <c r="A32" s="397" t="s">
        <v>279</v>
      </c>
    </row>
    <row r="33" ht="12.75">
      <c r="A33" s="397"/>
    </row>
    <row r="34" ht="12.75">
      <c r="A34" s="397" t="s">
        <v>194</v>
      </c>
    </row>
    <row r="36" ht="12.75">
      <c r="A36" s="397" t="s">
        <v>193</v>
      </c>
    </row>
    <row r="38" ht="12.75">
      <c r="A38" s="397" t="s">
        <v>191</v>
      </c>
    </row>
    <row r="39" ht="12.75">
      <c r="A39" s="397" t="s">
        <v>281</v>
      </c>
    </row>
    <row r="40" ht="12.75">
      <c r="A40" s="397"/>
    </row>
    <row r="41" ht="12.75">
      <c r="A41" s="397" t="s">
        <v>280</v>
      </c>
    </row>
    <row r="42" ht="12.75">
      <c r="A42" s="397" t="s">
        <v>282</v>
      </c>
    </row>
    <row r="43" ht="12.75">
      <c r="A43" s="397"/>
    </row>
    <row r="44" ht="12.75">
      <c r="A44" s="397" t="s">
        <v>189</v>
      </c>
    </row>
    <row r="46" ht="12.75">
      <c r="A46" s="397" t="s">
        <v>192</v>
      </c>
    </row>
    <row r="47" ht="12.75">
      <c r="A47" s="397"/>
    </row>
    <row r="48" ht="12.75">
      <c r="A48" s="397" t="s">
        <v>283</v>
      </c>
    </row>
    <row r="50" ht="12.75">
      <c r="A50" s="397" t="s">
        <v>198</v>
      </c>
    </row>
    <row r="51" ht="12.75">
      <c r="A51" s="397" t="s">
        <v>199</v>
      </c>
    </row>
    <row r="54" ht="12.75">
      <c r="A54" s="399" t="s">
        <v>200</v>
      </c>
    </row>
    <row r="56" ht="12.75">
      <c r="A56" s="397" t="s">
        <v>284</v>
      </c>
    </row>
    <row r="57" ht="12.75">
      <c r="A57" s="397" t="s">
        <v>285</v>
      </c>
    </row>
    <row r="58" ht="12.75">
      <c r="A58" s="397" t="s">
        <v>286</v>
      </c>
    </row>
    <row r="59" ht="12.75">
      <c r="A59" s="397" t="s">
        <v>291</v>
      </c>
    </row>
    <row r="60" ht="12.75">
      <c r="A60" s="397"/>
    </row>
    <row r="62" ht="12.75">
      <c r="A62" s="396" t="s">
        <v>201</v>
      </c>
    </row>
    <row r="64" ht="12.75">
      <c r="A64" s="397" t="s">
        <v>202</v>
      </c>
    </row>
    <row r="65" ht="12.75">
      <c r="A65" s="397"/>
    </row>
    <row r="66" ht="12.75">
      <c r="A66" s="397" t="s">
        <v>203</v>
      </c>
    </row>
    <row r="67" ht="12.75">
      <c r="A67" s="397"/>
    </row>
    <row r="68" ht="12.75">
      <c r="A68" s="397" t="s">
        <v>289</v>
      </c>
    </row>
    <row r="69" ht="12.75">
      <c r="A69" s="397" t="s">
        <v>290</v>
      </c>
    </row>
    <row r="70" ht="12.75">
      <c r="A70" s="397"/>
    </row>
    <row r="71" ht="12.75">
      <c r="A71" s="397" t="s">
        <v>287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9"/>
  <sheetViews>
    <sheetView workbookViewId="0" topLeftCell="A1">
      <selection activeCell="H32" sqref="H32"/>
    </sheetView>
  </sheetViews>
  <sheetFormatPr defaultColWidth="11.421875" defaultRowHeight="12.75"/>
  <sheetData>
    <row r="1" ht="12.75">
      <c r="B1" s="396" t="s">
        <v>294</v>
      </c>
    </row>
    <row r="3" spans="2:5" ht="12.75">
      <c r="B3" t="s">
        <v>185</v>
      </c>
      <c r="C3" t="s">
        <v>186</v>
      </c>
      <c r="D3" s="449" t="s">
        <v>295</v>
      </c>
      <c r="E3" s="449"/>
    </row>
    <row r="4" spans="2:5" ht="12.75">
      <c r="B4" t="s">
        <v>296</v>
      </c>
      <c r="C4" t="s">
        <v>56</v>
      </c>
      <c r="D4" t="s">
        <v>297</v>
      </c>
      <c r="E4" t="s">
        <v>298</v>
      </c>
    </row>
    <row r="6" spans="2:5" ht="12.75">
      <c r="B6">
        <v>0.00611</v>
      </c>
      <c r="C6">
        <v>0</v>
      </c>
      <c r="E6">
        <v>0.0048471</v>
      </c>
    </row>
    <row r="7" spans="2:5" ht="12.75">
      <c r="B7">
        <v>0.01</v>
      </c>
      <c r="C7">
        <v>6.982</v>
      </c>
      <c r="D7">
        <v>1</v>
      </c>
      <c r="E7">
        <v>0.00774</v>
      </c>
    </row>
    <row r="8" spans="2:5" ht="12.75">
      <c r="B8">
        <v>0.0123</v>
      </c>
      <c r="C8">
        <v>10</v>
      </c>
      <c r="E8">
        <v>0.0093976</v>
      </c>
    </row>
    <row r="9" spans="2:5" ht="12.75">
      <c r="B9">
        <v>0.0234</v>
      </c>
      <c r="C9">
        <v>20</v>
      </c>
      <c r="E9">
        <v>0.017296</v>
      </c>
    </row>
    <row r="10" spans="2:5" ht="12.75">
      <c r="B10">
        <v>0.0424</v>
      </c>
      <c r="C10">
        <v>30</v>
      </c>
      <c r="E10">
        <v>0.030375</v>
      </c>
    </row>
    <row r="11" spans="2:5" ht="12.75">
      <c r="B11">
        <v>0.05</v>
      </c>
      <c r="C11">
        <v>32.898</v>
      </c>
      <c r="D11">
        <v>0.995</v>
      </c>
      <c r="E11">
        <v>0.03555</v>
      </c>
    </row>
    <row r="12" spans="2:5" ht="12.75">
      <c r="B12">
        <v>0.1</v>
      </c>
      <c r="C12">
        <v>45.833</v>
      </c>
      <c r="D12">
        <v>0.99</v>
      </c>
      <c r="E12">
        <v>0.0681</v>
      </c>
    </row>
    <row r="13" spans="2:5" ht="12.75">
      <c r="B13">
        <v>0.2</v>
      </c>
      <c r="C13">
        <v>60.086</v>
      </c>
      <c r="D13">
        <v>0.983</v>
      </c>
      <c r="E13">
        <v>0.1307</v>
      </c>
    </row>
    <row r="14" spans="2:5" ht="12.75">
      <c r="B14">
        <v>0.3</v>
      </c>
      <c r="C14">
        <v>69.124</v>
      </c>
      <c r="D14">
        <v>0.978</v>
      </c>
      <c r="E14">
        <v>0.1912</v>
      </c>
    </row>
    <row r="15" spans="2:5" ht="12.75">
      <c r="B15">
        <v>0.4</v>
      </c>
      <c r="C15">
        <v>75.886</v>
      </c>
      <c r="D15">
        <v>0.974</v>
      </c>
      <c r="E15">
        <v>0.2504</v>
      </c>
    </row>
    <row r="16" spans="2:5" ht="12.75">
      <c r="B16">
        <v>0.5</v>
      </c>
      <c r="C16">
        <v>81.345</v>
      </c>
      <c r="D16">
        <v>0.971</v>
      </c>
      <c r="E16">
        <v>0.3086</v>
      </c>
    </row>
    <row r="17" spans="2:5" ht="12.75">
      <c r="B17">
        <v>0.6</v>
      </c>
      <c r="C17">
        <v>85.954</v>
      </c>
      <c r="D17">
        <v>0.968</v>
      </c>
      <c r="E17">
        <v>0.3661</v>
      </c>
    </row>
    <row r="18" spans="2:5" ht="12.75">
      <c r="B18">
        <v>0.8</v>
      </c>
      <c r="C18">
        <v>93.512</v>
      </c>
      <c r="D18">
        <v>0.963</v>
      </c>
      <c r="E18">
        <v>0.4792</v>
      </c>
    </row>
    <row r="19" spans="2:5" ht="12.75">
      <c r="B19">
        <v>1</v>
      </c>
      <c r="C19">
        <v>99.632</v>
      </c>
      <c r="D19">
        <v>0.958</v>
      </c>
      <c r="E19">
        <v>0.5904</v>
      </c>
    </row>
    <row r="20" spans="2:5" ht="12.75">
      <c r="B20">
        <v>1.013</v>
      </c>
      <c r="C20">
        <v>100</v>
      </c>
      <c r="D20">
        <v>0.958</v>
      </c>
      <c r="E20">
        <v>0.5977</v>
      </c>
    </row>
    <row r="21" spans="2:5" ht="12.75">
      <c r="B21">
        <v>1.5</v>
      </c>
      <c r="C21">
        <v>111.37</v>
      </c>
      <c r="D21">
        <v>0.95</v>
      </c>
      <c r="E21">
        <v>0.8628</v>
      </c>
    </row>
    <row r="22" spans="2:5" ht="12.75">
      <c r="B22">
        <v>2</v>
      </c>
      <c r="C22">
        <v>120.23</v>
      </c>
      <c r="D22">
        <v>0.943</v>
      </c>
      <c r="E22">
        <v>1.129</v>
      </c>
    </row>
    <row r="23" spans="2:5" ht="12.75">
      <c r="B23">
        <v>2.5</v>
      </c>
      <c r="C23">
        <v>127.43</v>
      </c>
      <c r="D23">
        <v>0.937</v>
      </c>
      <c r="E23">
        <v>1.392</v>
      </c>
    </row>
    <row r="24" spans="2:5" ht="12.75">
      <c r="B24">
        <v>3</v>
      </c>
      <c r="C24">
        <v>133.54</v>
      </c>
      <c r="D24">
        <v>0.931</v>
      </c>
      <c r="E24">
        <v>1.651</v>
      </c>
    </row>
    <row r="25" spans="2:5" ht="12.75">
      <c r="B25">
        <v>3.5</v>
      </c>
      <c r="C25">
        <v>138.87</v>
      </c>
      <c r="D25">
        <v>0.927</v>
      </c>
      <c r="E25">
        <v>1.908</v>
      </c>
    </row>
    <row r="26" spans="2:5" ht="12.75">
      <c r="B26">
        <v>4</v>
      </c>
      <c r="C26">
        <v>143.62</v>
      </c>
      <c r="D26">
        <v>0.923</v>
      </c>
      <c r="E26">
        <v>2.163</v>
      </c>
    </row>
    <row r="27" spans="2:5" ht="12.75">
      <c r="B27">
        <v>4.5</v>
      </c>
      <c r="C27">
        <v>147.92</v>
      </c>
      <c r="D27">
        <v>0.919</v>
      </c>
      <c r="E27">
        <v>2.417</v>
      </c>
    </row>
    <row r="28" spans="2:5" ht="12.75">
      <c r="B28">
        <v>5</v>
      </c>
      <c r="C28">
        <v>151.84</v>
      </c>
      <c r="D28">
        <v>0.915</v>
      </c>
      <c r="E28">
        <v>2.669</v>
      </c>
    </row>
    <row r="29" spans="2:5" ht="12.75">
      <c r="B29">
        <v>6</v>
      </c>
      <c r="C29">
        <v>158.84</v>
      </c>
      <c r="D29">
        <v>0.908</v>
      </c>
      <c r="E29">
        <v>3.17</v>
      </c>
    </row>
    <row r="30" spans="2:5" ht="12.75">
      <c r="B30">
        <v>7</v>
      </c>
      <c r="C30">
        <v>164.96</v>
      </c>
      <c r="D30">
        <v>0.902</v>
      </c>
      <c r="E30">
        <v>3.667</v>
      </c>
    </row>
    <row r="31" spans="2:5" ht="12.75">
      <c r="B31">
        <v>8</v>
      </c>
      <c r="C31">
        <v>170.4</v>
      </c>
      <c r="D31">
        <v>0.897</v>
      </c>
      <c r="E31">
        <v>4.162</v>
      </c>
    </row>
    <row r="32" spans="2:5" ht="12.75">
      <c r="B32">
        <v>9</v>
      </c>
      <c r="C32">
        <v>175.36</v>
      </c>
      <c r="D32">
        <v>0.892</v>
      </c>
      <c r="E32">
        <v>4.655</v>
      </c>
    </row>
    <row r="33" spans="2:5" ht="12.75">
      <c r="B33">
        <v>10</v>
      </c>
      <c r="C33">
        <v>179.88</v>
      </c>
      <c r="D33">
        <v>0.887</v>
      </c>
      <c r="E33">
        <v>5.147</v>
      </c>
    </row>
    <row r="34" spans="2:5" ht="12.75">
      <c r="B34">
        <v>12</v>
      </c>
      <c r="C34">
        <v>187.96</v>
      </c>
      <c r="D34">
        <v>0.878</v>
      </c>
      <c r="E34">
        <v>6.127</v>
      </c>
    </row>
    <row r="35" spans="2:5" ht="12.75">
      <c r="B35">
        <v>14</v>
      </c>
      <c r="C35">
        <v>195.04</v>
      </c>
      <c r="D35">
        <v>0.87</v>
      </c>
      <c r="E35">
        <v>7.106</v>
      </c>
    </row>
    <row r="36" spans="2:5" ht="12.75">
      <c r="B36">
        <v>16</v>
      </c>
      <c r="C36">
        <v>201.37</v>
      </c>
      <c r="D36">
        <v>0.863</v>
      </c>
      <c r="E36">
        <v>8.085</v>
      </c>
    </row>
    <row r="37" spans="2:5" ht="12.75">
      <c r="B37">
        <v>18</v>
      </c>
      <c r="C37">
        <v>207.11</v>
      </c>
      <c r="D37">
        <v>0.856</v>
      </c>
      <c r="E37">
        <v>9.065</v>
      </c>
    </row>
    <row r="38" spans="2:5" ht="12.75">
      <c r="B38">
        <v>20</v>
      </c>
      <c r="C38">
        <v>212.42</v>
      </c>
      <c r="D38">
        <v>0.85</v>
      </c>
      <c r="E38">
        <v>10.05</v>
      </c>
    </row>
    <row r="39" spans="2:5" ht="12.75">
      <c r="B39">
        <v>22.5</v>
      </c>
      <c r="C39">
        <v>218.41</v>
      </c>
      <c r="D39">
        <v>0.842</v>
      </c>
      <c r="E39">
        <v>11028</v>
      </c>
    </row>
    <row r="40" spans="2:5" ht="12.75">
      <c r="B40">
        <v>25</v>
      </c>
      <c r="C40">
        <v>223.94</v>
      </c>
      <c r="D40">
        <v>0.835</v>
      </c>
      <c r="E40">
        <v>12.51</v>
      </c>
    </row>
    <row r="41" spans="2:5" ht="12.75">
      <c r="B41">
        <v>27.5</v>
      </c>
      <c r="C41">
        <v>229.07</v>
      </c>
      <c r="D41">
        <v>0.828</v>
      </c>
      <c r="E41">
        <v>13.76</v>
      </c>
    </row>
    <row r="42" spans="2:5" ht="12.75">
      <c r="B42">
        <v>30</v>
      </c>
      <c r="C42">
        <v>233.84</v>
      </c>
      <c r="D42">
        <v>0.822</v>
      </c>
      <c r="E42">
        <v>15.01</v>
      </c>
    </row>
    <row r="43" spans="2:5" ht="12.75">
      <c r="B43">
        <v>35</v>
      </c>
      <c r="C43">
        <v>242.54</v>
      </c>
      <c r="D43">
        <v>0.81</v>
      </c>
      <c r="E43">
        <v>17.54</v>
      </c>
    </row>
    <row r="44" spans="2:5" ht="12.75">
      <c r="B44">
        <v>40</v>
      </c>
      <c r="C44">
        <v>250.33</v>
      </c>
      <c r="D44">
        <v>0.799</v>
      </c>
      <c r="E44">
        <v>20.1</v>
      </c>
    </row>
    <row r="45" spans="2:5" ht="12.75">
      <c r="B45">
        <v>45</v>
      </c>
      <c r="C45">
        <v>257.41</v>
      </c>
      <c r="D45">
        <v>0.788</v>
      </c>
      <c r="E45">
        <v>22.71</v>
      </c>
    </row>
    <row r="46" spans="2:5" ht="12.75">
      <c r="B46">
        <v>50</v>
      </c>
      <c r="C46">
        <v>263.91</v>
      </c>
      <c r="D46">
        <v>0.778</v>
      </c>
      <c r="E46">
        <v>25.36</v>
      </c>
    </row>
    <row r="47" spans="2:5" ht="12.75">
      <c r="B47">
        <v>55</v>
      </c>
      <c r="C47">
        <v>269.93</v>
      </c>
      <c r="D47">
        <v>0.768</v>
      </c>
      <c r="E47">
        <v>28.07</v>
      </c>
    </row>
    <row r="48" spans="2:5" ht="12.75">
      <c r="B48">
        <v>60</v>
      </c>
      <c r="C48">
        <v>275.55</v>
      </c>
      <c r="D48">
        <v>0.758</v>
      </c>
      <c r="E48">
        <v>30.83</v>
      </c>
    </row>
    <row r="49" spans="2:5" ht="12.75">
      <c r="B49">
        <v>65</v>
      </c>
      <c r="C49">
        <v>280.82</v>
      </c>
      <c r="D49">
        <v>0.749</v>
      </c>
      <c r="E49">
        <v>33.65</v>
      </c>
    </row>
    <row r="50" spans="2:5" ht="12.75">
      <c r="B50">
        <v>70</v>
      </c>
      <c r="C50">
        <v>285.79</v>
      </c>
      <c r="D50">
        <v>0.74</v>
      </c>
      <c r="E50">
        <v>36.53</v>
      </c>
    </row>
    <row r="51" spans="2:5" ht="12.75">
      <c r="B51">
        <v>75</v>
      </c>
      <c r="C51">
        <v>290.5</v>
      </c>
      <c r="D51">
        <v>0.731</v>
      </c>
      <c r="E51">
        <v>39.48</v>
      </c>
    </row>
    <row r="52" spans="2:5" ht="12.75">
      <c r="B52">
        <v>80</v>
      </c>
      <c r="C52">
        <v>294.97</v>
      </c>
      <c r="D52">
        <v>0.722</v>
      </c>
      <c r="E52">
        <v>42.51</v>
      </c>
    </row>
    <row r="53" spans="2:5" ht="12.75">
      <c r="B53">
        <v>85</v>
      </c>
      <c r="C53">
        <v>299.23</v>
      </c>
      <c r="D53">
        <v>0.714</v>
      </c>
      <c r="E53">
        <v>45.61</v>
      </c>
    </row>
    <row r="54" spans="2:5" ht="12.75">
      <c r="B54">
        <v>90</v>
      </c>
      <c r="C54">
        <v>303.31</v>
      </c>
      <c r="D54">
        <v>0.705</v>
      </c>
      <c r="E54">
        <v>48.79</v>
      </c>
    </row>
    <row r="55" spans="2:5" ht="12.75">
      <c r="B55">
        <v>95</v>
      </c>
      <c r="C55">
        <v>307.21</v>
      </c>
      <c r="D55">
        <v>0.697</v>
      </c>
      <c r="E55">
        <v>52.06</v>
      </c>
    </row>
    <row r="56" spans="2:5" ht="12.75">
      <c r="B56">
        <v>100</v>
      </c>
      <c r="C56">
        <v>310.96</v>
      </c>
      <c r="D56">
        <v>0.689</v>
      </c>
      <c r="E56">
        <v>55.43</v>
      </c>
    </row>
    <row r="57" spans="2:5" ht="12.75">
      <c r="B57">
        <v>110</v>
      </c>
      <c r="C57">
        <v>318.05</v>
      </c>
      <c r="D57">
        <v>0.672</v>
      </c>
      <c r="E57">
        <v>62.48</v>
      </c>
    </row>
    <row r="58" spans="2:5" ht="12.75">
      <c r="B58">
        <v>120</v>
      </c>
      <c r="C58">
        <v>324.65</v>
      </c>
      <c r="D58">
        <v>0.655</v>
      </c>
      <c r="E58">
        <v>70.01</v>
      </c>
    </row>
    <row r="59" spans="2:5" ht="12.75">
      <c r="B59">
        <v>130</v>
      </c>
      <c r="C59">
        <v>330.83</v>
      </c>
      <c r="D59">
        <v>0.638</v>
      </c>
      <c r="E59">
        <v>78.14</v>
      </c>
    </row>
    <row r="60" spans="2:5" ht="12.75">
      <c r="B60">
        <v>140</v>
      </c>
      <c r="C60">
        <v>336.64</v>
      </c>
      <c r="D60">
        <v>0.621</v>
      </c>
      <c r="E60">
        <v>86.99</v>
      </c>
    </row>
    <row r="61" spans="2:5" ht="12.75">
      <c r="B61">
        <v>150</v>
      </c>
      <c r="C61">
        <v>342.13</v>
      </c>
      <c r="D61">
        <v>0.603</v>
      </c>
      <c r="E61">
        <v>96.71</v>
      </c>
    </row>
    <row r="62" spans="2:5" ht="12.75">
      <c r="B62">
        <v>160</v>
      </c>
      <c r="C62">
        <v>347.33</v>
      </c>
      <c r="D62">
        <v>0.585</v>
      </c>
      <c r="E62">
        <v>107.4</v>
      </c>
    </row>
    <row r="63" spans="2:5" ht="12.75">
      <c r="B63">
        <v>170</v>
      </c>
      <c r="C63">
        <v>352.26</v>
      </c>
      <c r="D63">
        <v>0.565</v>
      </c>
      <c r="E63">
        <v>119.5</v>
      </c>
    </row>
    <row r="64" spans="2:5" ht="12.75">
      <c r="B64">
        <v>180</v>
      </c>
      <c r="C64">
        <v>356.96</v>
      </c>
      <c r="D64">
        <v>0.544</v>
      </c>
      <c r="E64">
        <v>133.4</v>
      </c>
    </row>
    <row r="65" spans="2:5" ht="12.75">
      <c r="B65">
        <v>190</v>
      </c>
      <c r="C65">
        <v>361.43</v>
      </c>
      <c r="D65">
        <v>0.519</v>
      </c>
      <c r="E65">
        <v>149.8</v>
      </c>
    </row>
    <row r="66" spans="2:5" ht="12.75">
      <c r="B66">
        <v>200</v>
      </c>
      <c r="C66">
        <v>365.7</v>
      </c>
      <c r="D66">
        <v>0.491</v>
      </c>
      <c r="E66">
        <v>170.2</v>
      </c>
    </row>
    <row r="67" spans="2:5" ht="12.75">
      <c r="B67">
        <v>210</v>
      </c>
      <c r="C67">
        <v>369.78</v>
      </c>
      <c r="D67">
        <v>0.454</v>
      </c>
      <c r="E67">
        <v>199.1</v>
      </c>
    </row>
    <row r="68" spans="2:5" ht="12.75">
      <c r="B68">
        <v>220</v>
      </c>
      <c r="C68">
        <v>373.69</v>
      </c>
      <c r="D68">
        <v>0.374</v>
      </c>
      <c r="E68">
        <v>268.3</v>
      </c>
    </row>
    <row r="69" spans="2:5" ht="12.75">
      <c r="B69">
        <v>221.2</v>
      </c>
      <c r="C69">
        <v>374.15</v>
      </c>
      <c r="D69">
        <v>0.3155</v>
      </c>
      <c r="E69">
        <v>315.5</v>
      </c>
    </row>
  </sheetData>
  <mergeCells count="1">
    <mergeCell ref="D3:E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ySplit="2" topLeftCell="BM3" activePane="bottomLeft" state="frozen"/>
      <selection pane="topLeft" activeCell="A1" sqref="A1"/>
      <selection pane="bottomLeft" activeCell="I25" sqref="I25"/>
    </sheetView>
  </sheetViews>
  <sheetFormatPr defaultColWidth="11.421875" defaultRowHeight="12.75"/>
  <cols>
    <col min="1" max="1" width="19.28125" style="0" customWidth="1"/>
    <col min="3" max="3" width="10.28125" style="0" customWidth="1"/>
    <col min="4" max="4" width="12.140625" style="0" customWidth="1"/>
    <col min="6" max="6" width="9.7109375" style="0" customWidth="1"/>
    <col min="7" max="7" width="12.8515625" style="0" customWidth="1"/>
    <col min="8" max="8" width="13.00390625" style="0" customWidth="1"/>
  </cols>
  <sheetData>
    <row r="1" spans="1:9" ht="63.75">
      <c r="A1" s="450" t="s">
        <v>206</v>
      </c>
      <c r="B1" s="401" t="s">
        <v>207</v>
      </c>
      <c r="C1" s="402" t="s">
        <v>208</v>
      </c>
      <c r="D1" s="451" t="s">
        <v>209</v>
      </c>
      <c r="E1" s="450" t="s">
        <v>210</v>
      </c>
      <c r="F1" s="450" t="s">
        <v>299</v>
      </c>
      <c r="G1" s="450" t="s">
        <v>300</v>
      </c>
      <c r="I1" s="403" t="s">
        <v>301</v>
      </c>
    </row>
    <row r="2" spans="1:7" ht="12.75">
      <c r="A2" s="450"/>
      <c r="B2" s="404" t="s">
        <v>211</v>
      </c>
      <c r="C2" s="405" t="s">
        <v>212</v>
      </c>
      <c r="D2" s="451"/>
      <c r="E2" s="450"/>
      <c r="F2" s="452"/>
      <c r="G2" s="450"/>
    </row>
    <row r="3" spans="1:7" ht="12.75">
      <c r="A3" t="s">
        <v>213</v>
      </c>
      <c r="B3" s="406">
        <v>1.24</v>
      </c>
      <c r="C3" s="407"/>
      <c r="D3" s="406">
        <v>26.04</v>
      </c>
      <c r="E3" s="398" t="s">
        <v>302</v>
      </c>
      <c r="F3" s="398">
        <v>62.9</v>
      </c>
      <c r="G3" s="398">
        <v>911</v>
      </c>
    </row>
    <row r="4" spans="1:9" ht="12.75">
      <c r="A4" t="s">
        <v>214</v>
      </c>
      <c r="B4" s="406">
        <v>1.32</v>
      </c>
      <c r="C4" s="407"/>
      <c r="D4" s="406">
        <v>34.08</v>
      </c>
      <c r="E4" s="398" t="s">
        <v>215</v>
      </c>
      <c r="F4" s="398"/>
      <c r="G4" s="398"/>
      <c r="H4" t="s">
        <v>216</v>
      </c>
      <c r="I4" t="s">
        <v>217</v>
      </c>
    </row>
    <row r="5" spans="1:9" ht="12.75">
      <c r="A5" s="247" t="s">
        <v>218</v>
      </c>
      <c r="B5" s="408">
        <v>1.4</v>
      </c>
      <c r="C5" s="409">
        <v>1.293</v>
      </c>
      <c r="D5" s="408">
        <v>28.97</v>
      </c>
      <c r="E5" s="398" t="s">
        <v>219</v>
      </c>
      <c r="F5" s="398">
        <v>37.8</v>
      </c>
      <c r="G5" s="398">
        <v>-141</v>
      </c>
      <c r="H5" t="s">
        <v>220</v>
      </c>
      <c r="I5" t="s">
        <v>221</v>
      </c>
    </row>
    <row r="6" spans="1:7" ht="12.75">
      <c r="A6" t="s">
        <v>222</v>
      </c>
      <c r="B6" s="406">
        <v>1.13</v>
      </c>
      <c r="C6" s="407"/>
      <c r="D6" s="406">
        <v>46.07</v>
      </c>
      <c r="E6" s="398" t="s">
        <v>303</v>
      </c>
      <c r="F6" s="398">
        <v>64</v>
      </c>
      <c r="G6" s="398">
        <v>243</v>
      </c>
    </row>
    <row r="7" spans="1:7" ht="12.75">
      <c r="A7" t="s">
        <v>223</v>
      </c>
      <c r="B7" s="406">
        <v>1.2</v>
      </c>
      <c r="C7" s="407"/>
      <c r="D7" s="406">
        <v>32.04</v>
      </c>
      <c r="E7" s="398" t="s">
        <v>304</v>
      </c>
      <c r="F7" s="398">
        <v>79.6</v>
      </c>
      <c r="G7" s="398">
        <v>240</v>
      </c>
    </row>
    <row r="8" spans="1:7" ht="12.75">
      <c r="A8" t="s">
        <v>224</v>
      </c>
      <c r="B8" s="406">
        <v>1.31</v>
      </c>
      <c r="C8" s="407">
        <v>0.76804</v>
      </c>
      <c r="D8" s="406">
        <v>17.03</v>
      </c>
      <c r="E8" s="398" t="s">
        <v>225</v>
      </c>
      <c r="F8" s="398">
        <v>113</v>
      </c>
      <c r="G8" s="398">
        <v>132</v>
      </c>
    </row>
    <row r="9" spans="1:7" ht="12.75">
      <c r="A9" t="s">
        <v>226</v>
      </c>
      <c r="B9" s="406">
        <v>1.3</v>
      </c>
      <c r="C9" s="407"/>
      <c r="D9" s="406">
        <v>44.01</v>
      </c>
      <c r="E9" s="398" t="s">
        <v>227</v>
      </c>
      <c r="F9" s="398"/>
      <c r="G9" s="398"/>
    </row>
    <row r="10" spans="1:7" ht="12.75">
      <c r="A10" t="s">
        <v>228</v>
      </c>
      <c r="B10" s="406">
        <v>1.24</v>
      </c>
      <c r="C10" s="407"/>
      <c r="D10" s="406">
        <v>64.06</v>
      </c>
      <c r="E10" s="398" t="s">
        <v>229</v>
      </c>
      <c r="F10" s="398">
        <v>78.8</v>
      </c>
      <c r="G10" s="398">
        <v>157</v>
      </c>
    </row>
    <row r="11" spans="1:7" ht="12.75">
      <c r="A11" t="s">
        <v>230</v>
      </c>
      <c r="B11" s="406">
        <v>1.66</v>
      </c>
      <c r="C11" s="407"/>
      <c r="D11" s="406">
        <v>39.94</v>
      </c>
      <c r="E11" s="398" t="s">
        <v>231</v>
      </c>
      <c r="F11" s="398">
        <v>48.6</v>
      </c>
      <c r="G11" s="398">
        <v>-122</v>
      </c>
    </row>
    <row r="12" spans="1:7" ht="12.75">
      <c r="A12" t="s">
        <v>232</v>
      </c>
      <c r="B12" s="406">
        <v>1.4</v>
      </c>
      <c r="C12" s="407"/>
      <c r="D12" s="406">
        <v>28.02</v>
      </c>
      <c r="E12" s="398" t="s">
        <v>233</v>
      </c>
      <c r="F12" s="398">
        <v>34</v>
      </c>
      <c r="G12" s="398">
        <v>-147</v>
      </c>
    </row>
    <row r="13" spans="2:7" ht="12.75">
      <c r="B13" s="406"/>
      <c r="C13" s="407"/>
      <c r="D13" s="406"/>
      <c r="E13" s="398"/>
      <c r="F13" s="398"/>
      <c r="G13" s="398"/>
    </row>
    <row r="14" spans="1:7" ht="12.75">
      <c r="A14" t="s">
        <v>234</v>
      </c>
      <c r="B14" s="406">
        <v>1.12</v>
      </c>
      <c r="C14" s="407"/>
      <c r="D14" s="406">
        <v>78.11</v>
      </c>
      <c r="E14" s="398"/>
      <c r="F14" s="398">
        <v>48.4</v>
      </c>
      <c r="G14" s="398">
        <v>289</v>
      </c>
    </row>
    <row r="15" spans="1:7" ht="12.75">
      <c r="A15" t="s">
        <v>305</v>
      </c>
      <c r="B15" s="406">
        <v>1.1</v>
      </c>
      <c r="C15" s="407">
        <v>2.681</v>
      </c>
      <c r="D15" s="406">
        <v>58.12</v>
      </c>
      <c r="E15" s="398" t="s">
        <v>236</v>
      </c>
      <c r="F15" s="398">
        <v>36.5</v>
      </c>
      <c r="G15" s="398">
        <v>153</v>
      </c>
    </row>
    <row r="16" spans="1:7" ht="12.75">
      <c r="A16" t="s">
        <v>235</v>
      </c>
      <c r="B16" s="406">
        <v>1.1</v>
      </c>
      <c r="C16" s="407">
        <v>2.6814</v>
      </c>
      <c r="D16" s="406">
        <v>58.12</v>
      </c>
      <c r="E16" s="398" t="s">
        <v>236</v>
      </c>
      <c r="F16" s="398">
        <v>37.5</v>
      </c>
      <c r="G16" s="398">
        <v>134</v>
      </c>
    </row>
    <row r="17" spans="1:7" ht="12.75">
      <c r="A17" t="s">
        <v>237</v>
      </c>
      <c r="B17" s="406">
        <v>1.09</v>
      </c>
      <c r="C17" s="407">
        <v>2.6889</v>
      </c>
      <c r="D17" s="406">
        <v>58.12</v>
      </c>
      <c r="E17" s="398" t="s">
        <v>236</v>
      </c>
      <c r="F17" s="398"/>
      <c r="G17" s="398"/>
    </row>
    <row r="18" spans="1:7" ht="12.75">
      <c r="A18" t="s">
        <v>238</v>
      </c>
      <c r="B18" s="406">
        <v>1.1</v>
      </c>
      <c r="C18" s="407"/>
      <c r="D18" s="406">
        <v>56.1</v>
      </c>
      <c r="E18" s="398"/>
      <c r="F18" s="398"/>
      <c r="G18" s="398"/>
    </row>
    <row r="19" spans="1:7" ht="12.75">
      <c r="A19" t="s">
        <v>239</v>
      </c>
      <c r="B19" s="406">
        <v>1.11</v>
      </c>
      <c r="C19" s="407"/>
      <c r="D19" s="406">
        <v>56.1</v>
      </c>
      <c r="E19" s="398"/>
      <c r="F19" s="398"/>
      <c r="G19" s="398"/>
    </row>
    <row r="20" spans="2:7" ht="12.75">
      <c r="B20" s="406"/>
      <c r="C20" s="407"/>
      <c r="D20" s="406"/>
      <c r="E20" s="398"/>
      <c r="F20" s="398"/>
      <c r="G20" s="398"/>
    </row>
    <row r="21" spans="1:7" ht="12.75">
      <c r="A21" t="s">
        <v>240</v>
      </c>
      <c r="B21" s="406">
        <v>1.36</v>
      </c>
      <c r="C21" s="407">
        <v>3.213</v>
      </c>
      <c r="D21" s="406">
        <v>70.91</v>
      </c>
      <c r="E21" s="398" t="s">
        <v>241</v>
      </c>
      <c r="F21" s="398">
        <v>77</v>
      </c>
      <c r="G21" s="398">
        <v>144</v>
      </c>
    </row>
    <row r="22" spans="1:7" ht="12.75">
      <c r="A22" t="s">
        <v>242</v>
      </c>
      <c r="B22" s="406">
        <v>1.19</v>
      </c>
      <c r="C22" s="407"/>
      <c r="D22" s="406">
        <v>64.52</v>
      </c>
      <c r="E22" s="398"/>
      <c r="F22" s="398"/>
      <c r="G22" s="398"/>
    </row>
    <row r="23" spans="1:7" ht="12.75">
      <c r="A23" t="s">
        <v>243</v>
      </c>
      <c r="B23" s="406">
        <v>1.2</v>
      </c>
      <c r="C23" s="407"/>
      <c r="D23" s="406">
        <v>50.49</v>
      </c>
      <c r="E23" s="398"/>
      <c r="F23" s="398"/>
      <c r="G23" s="398"/>
    </row>
    <row r="24" spans="2:7" ht="12.75">
      <c r="B24" s="406"/>
      <c r="C24" s="407"/>
      <c r="D24" s="406"/>
      <c r="E24" s="398"/>
      <c r="F24" s="398"/>
      <c r="G24" s="398"/>
    </row>
    <row r="25" spans="1:7" ht="12.75">
      <c r="A25" t="s">
        <v>244</v>
      </c>
      <c r="B25" s="406">
        <v>1.03</v>
      </c>
      <c r="C25" s="407"/>
      <c r="D25" s="406">
        <v>142.28</v>
      </c>
      <c r="E25" s="398"/>
      <c r="F25" s="398"/>
      <c r="G25" s="398"/>
    </row>
    <row r="26" spans="1:8" ht="12.75">
      <c r="A26" t="s">
        <v>245</v>
      </c>
      <c r="B26" s="406"/>
      <c r="C26" s="407">
        <v>1.9778</v>
      </c>
      <c r="D26" s="406">
        <v>44.01</v>
      </c>
      <c r="E26" s="398" t="s">
        <v>227</v>
      </c>
      <c r="F26" s="398">
        <v>74</v>
      </c>
      <c r="G26" s="398">
        <v>31</v>
      </c>
      <c r="H26" t="s">
        <v>306</v>
      </c>
    </row>
    <row r="27" spans="2:7" ht="12.75">
      <c r="B27" s="406"/>
      <c r="C27" s="407"/>
      <c r="D27" s="406"/>
      <c r="E27" s="398"/>
      <c r="F27" s="398"/>
      <c r="G27" s="398"/>
    </row>
    <row r="28" spans="1:7" ht="12.75">
      <c r="A28" t="s">
        <v>246</v>
      </c>
      <c r="B28" s="406">
        <v>1.19</v>
      </c>
      <c r="C28" s="407">
        <v>1.356</v>
      </c>
      <c r="D28" s="406">
        <v>30.07</v>
      </c>
      <c r="E28" s="398" t="s">
        <v>307</v>
      </c>
      <c r="F28" s="398">
        <v>49.5</v>
      </c>
      <c r="G28" s="398">
        <v>32</v>
      </c>
    </row>
    <row r="29" spans="1:7" ht="12.75">
      <c r="A29" t="s">
        <v>247</v>
      </c>
      <c r="B29" s="406">
        <v>1.24</v>
      </c>
      <c r="C29" s="407"/>
      <c r="D29" s="406">
        <v>28.05</v>
      </c>
      <c r="E29" s="398" t="s">
        <v>248</v>
      </c>
      <c r="F29" s="398">
        <v>51.2</v>
      </c>
      <c r="G29" s="398">
        <v>10</v>
      </c>
    </row>
    <row r="30" spans="2:7" ht="12.75">
      <c r="B30" s="406"/>
      <c r="C30" s="407"/>
      <c r="D30" s="406"/>
      <c r="E30" s="398"/>
      <c r="F30" s="398"/>
      <c r="G30" s="398"/>
    </row>
    <row r="31" spans="1:7" ht="12.75">
      <c r="A31" t="s">
        <v>249</v>
      </c>
      <c r="B31" s="406">
        <v>1.38</v>
      </c>
      <c r="C31" s="407"/>
      <c r="D31" s="406">
        <v>30</v>
      </c>
      <c r="E31" s="398"/>
      <c r="F31" s="398"/>
      <c r="G31" s="398"/>
    </row>
    <row r="32" spans="1:7" ht="12.75">
      <c r="A32" t="s">
        <v>250</v>
      </c>
      <c r="B32" s="406">
        <v>1.2</v>
      </c>
      <c r="C32" s="407"/>
      <c r="D32" s="406">
        <v>28.83</v>
      </c>
      <c r="E32" s="398"/>
      <c r="F32" s="398"/>
      <c r="G32" s="398"/>
    </row>
    <row r="33" spans="1:7" ht="12.75">
      <c r="A33" t="s">
        <v>251</v>
      </c>
      <c r="B33" s="406">
        <v>1.35</v>
      </c>
      <c r="C33" s="407"/>
      <c r="D33" s="406">
        <v>19.48</v>
      </c>
      <c r="E33" s="398"/>
      <c r="F33" s="398"/>
      <c r="G33" s="398"/>
    </row>
    <row r="34" spans="1:7" ht="12.75">
      <c r="A34" t="s">
        <v>252</v>
      </c>
      <c r="B34" s="406">
        <v>1.35</v>
      </c>
      <c r="C34" s="407"/>
      <c r="D34" s="406">
        <v>10.71</v>
      </c>
      <c r="E34" s="398"/>
      <c r="F34" s="398"/>
      <c r="G34" s="398"/>
    </row>
    <row r="35" spans="1:7" ht="12.75">
      <c r="A35" t="s">
        <v>253</v>
      </c>
      <c r="B35" s="406">
        <v>1.39</v>
      </c>
      <c r="C35" s="407"/>
      <c r="D35" s="406">
        <v>29.6</v>
      </c>
      <c r="E35" s="398"/>
      <c r="F35" s="398"/>
      <c r="G35" s="398"/>
    </row>
    <row r="36" spans="1:7" ht="12.75">
      <c r="A36" t="s">
        <v>254</v>
      </c>
      <c r="B36" s="406">
        <v>1.27</v>
      </c>
      <c r="C36" s="407"/>
      <c r="D36" s="406">
        <v>18.82</v>
      </c>
      <c r="E36" s="398"/>
      <c r="F36" s="398"/>
      <c r="G36" s="398"/>
    </row>
    <row r="37" spans="2:7" ht="12.75">
      <c r="B37" s="406"/>
      <c r="C37" s="407"/>
      <c r="D37" s="406"/>
      <c r="E37" s="398"/>
      <c r="F37" s="398"/>
      <c r="G37" s="398"/>
    </row>
    <row r="38" spans="1:7" ht="12.75">
      <c r="A38" t="s">
        <v>255</v>
      </c>
      <c r="B38" s="406">
        <v>1.66</v>
      </c>
      <c r="C38" s="407"/>
      <c r="D38" s="406">
        <v>4</v>
      </c>
      <c r="E38" s="398" t="s">
        <v>256</v>
      </c>
      <c r="F38" s="398">
        <v>2.29</v>
      </c>
      <c r="G38" s="398">
        <v>-268</v>
      </c>
    </row>
    <row r="39" spans="1:7" ht="12.75">
      <c r="A39" t="s">
        <v>257</v>
      </c>
      <c r="B39" s="406">
        <v>1.05</v>
      </c>
      <c r="C39" s="407"/>
      <c r="D39" s="406">
        <v>100.2</v>
      </c>
      <c r="E39" s="398"/>
      <c r="F39" s="398"/>
      <c r="G39" s="398"/>
    </row>
    <row r="40" spans="1:7" ht="12.75">
      <c r="A40" t="s">
        <v>258</v>
      </c>
      <c r="B40" s="406">
        <v>1.06</v>
      </c>
      <c r="C40" s="407"/>
      <c r="D40" s="406">
        <v>86.17</v>
      </c>
      <c r="E40" s="398"/>
      <c r="F40" s="398"/>
      <c r="G40" s="398"/>
    </row>
    <row r="41" spans="1:7" ht="12.75">
      <c r="A41" t="s">
        <v>259</v>
      </c>
      <c r="B41" s="406">
        <v>1.41</v>
      </c>
      <c r="C41" s="407"/>
      <c r="D41" s="406">
        <v>2.02</v>
      </c>
      <c r="E41" s="398" t="s">
        <v>260</v>
      </c>
      <c r="F41" s="398">
        <v>13</v>
      </c>
      <c r="G41" s="398">
        <v>-240</v>
      </c>
    </row>
    <row r="42" spans="2:7" ht="12.75">
      <c r="B42" s="406"/>
      <c r="C42" s="407"/>
      <c r="D42" s="406"/>
      <c r="E42" s="398"/>
      <c r="F42" s="398"/>
      <c r="G42" s="398"/>
    </row>
    <row r="43" spans="1:7" ht="12.75">
      <c r="A43" t="s">
        <v>261</v>
      </c>
      <c r="B43" s="406">
        <v>1.31</v>
      </c>
      <c r="C43" s="407"/>
      <c r="D43" s="406">
        <v>16.04</v>
      </c>
      <c r="E43" s="398" t="s">
        <v>262</v>
      </c>
      <c r="F43" s="398">
        <v>46.4</v>
      </c>
      <c r="G43" s="398">
        <v>-83</v>
      </c>
    </row>
    <row r="44" spans="1:7" ht="12.75">
      <c r="A44" t="s">
        <v>263</v>
      </c>
      <c r="B44" s="406">
        <v>1.4</v>
      </c>
      <c r="C44" s="407"/>
      <c r="D44" s="406">
        <v>28.01</v>
      </c>
      <c r="E44" s="398" t="s">
        <v>264</v>
      </c>
      <c r="F44" s="398">
        <v>35.5</v>
      </c>
      <c r="G44" s="398">
        <v>-139</v>
      </c>
    </row>
    <row r="45" spans="2:7" ht="12.75">
      <c r="B45" s="406"/>
      <c r="C45" s="407"/>
      <c r="D45" s="406"/>
      <c r="E45" s="398"/>
      <c r="F45" s="398"/>
      <c r="G45" s="398"/>
    </row>
    <row r="46" spans="1:7" ht="12.75">
      <c r="A46" t="s">
        <v>265</v>
      </c>
      <c r="B46" s="406">
        <v>1.04</v>
      </c>
      <c r="C46" s="407"/>
      <c r="D46" s="406">
        <v>128.25</v>
      </c>
      <c r="E46" s="398"/>
      <c r="F46" s="398"/>
      <c r="G46" s="398"/>
    </row>
    <row r="47" spans="2:7" ht="12.75">
      <c r="B47" s="406"/>
      <c r="C47" s="407"/>
      <c r="D47" s="406"/>
      <c r="E47" s="398"/>
      <c r="F47" s="398"/>
      <c r="G47" s="398"/>
    </row>
    <row r="48" spans="1:7" ht="12.75">
      <c r="A48" t="s">
        <v>266</v>
      </c>
      <c r="B48" s="406">
        <v>1.05</v>
      </c>
      <c r="C48" s="407"/>
      <c r="D48" s="406">
        <v>114.22</v>
      </c>
      <c r="E48" s="398"/>
      <c r="F48" s="398"/>
      <c r="G48" s="398"/>
    </row>
    <row r="49" spans="1:7" ht="12.75">
      <c r="A49" t="s">
        <v>267</v>
      </c>
      <c r="B49" s="406">
        <v>1.4</v>
      </c>
      <c r="C49" s="407"/>
      <c r="D49" s="406">
        <v>28.01</v>
      </c>
      <c r="E49" s="398" t="s">
        <v>264</v>
      </c>
      <c r="F49" s="398">
        <v>35.5</v>
      </c>
      <c r="G49" s="398">
        <v>-139</v>
      </c>
    </row>
    <row r="50" spans="1:7" ht="12.75">
      <c r="A50" t="s">
        <v>268</v>
      </c>
      <c r="B50" s="406">
        <v>1.4</v>
      </c>
      <c r="C50" s="407"/>
      <c r="D50" s="406">
        <v>32</v>
      </c>
      <c r="E50" s="398" t="s">
        <v>269</v>
      </c>
      <c r="F50" s="398">
        <v>50.4</v>
      </c>
      <c r="G50" s="398">
        <v>-119</v>
      </c>
    </row>
    <row r="51" spans="2:7" ht="12.75">
      <c r="B51" s="406"/>
      <c r="C51" s="407"/>
      <c r="D51" s="406"/>
      <c r="E51" s="398"/>
      <c r="F51" s="398"/>
      <c r="G51" s="398"/>
    </row>
    <row r="52" spans="1:7" ht="12.75">
      <c r="A52" t="s">
        <v>308</v>
      </c>
      <c r="B52" s="406"/>
      <c r="C52" s="407"/>
      <c r="D52" s="406">
        <v>72.15</v>
      </c>
      <c r="E52" s="398" t="s">
        <v>309</v>
      </c>
      <c r="F52" s="398">
        <v>37.5</v>
      </c>
      <c r="G52" s="398">
        <v>197</v>
      </c>
    </row>
    <row r="53" spans="1:7" ht="12.75">
      <c r="A53" t="s">
        <v>270</v>
      </c>
      <c r="B53" s="406">
        <v>1.08</v>
      </c>
      <c r="C53" s="407"/>
      <c r="D53" s="406">
        <v>72.15</v>
      </c>
      <c r="E53" s="398" t="s">
        <v>309</v>
      </c>
      <c r="F53" s="398"/>
      <c r="G53" s="398"/>
    </row>
    <row r="54" spans="1:7" ht="12.75">
      <c r="A54" t="s">
        <v>271</v>
      </c>
      <c r="B54" s="406">
        <v>1.07</v>
      </c>
      <c r="C54" s="407"/>
      <c r="D54" s="406">
        <v>72.15</v>
      </c>
      <c r="E54" s="398"/>
      <c r="F54" s="398"/>
      <c r="G54" s="398"/>
    </row>
    <row r="55" spans="1:7" ht="12.75">
      <c r="A55" t="s">
        <v>272</v>
      </c>
      <c r="B55" s="406">
        <v>1.08</v>
      </c>
      <c r="C55" s="407"/>
      <c r="D55" s="406">
        <v>70.13</v>
      </c>
      <c r="E55" s="398"/>
      <c r="F55" s="398"/>
      <c r="G55" s="398"/>
    </row>
    <row r="56" spans="1:7" ht="12.75">
      <c r="A56" t="s">
        <v>273</v>
      </c>
      <c r="B56" s="406">
        <v>1.13</v>
      </c>
      <c r="C56" s="407"/>
      <c r="D56" s="406">
        <v>44.09</v>
      </c>
      <c r="E56" s="398" t="s">
        <v>310</v>
      </c>
      <c r="F56" s="398"/>
      <c r="G56" s="398"/>
    </row>
    <row r="57" spans="1:7" ht="12.75">
      <c r="A57" t="s">
        <v>274</v>
      </c>
      <c r="B57" s="406">
        <v>1.15</v>
      </c>
      <c r="C57" s="407"/>
      <c r="D57" s="406">
        <v>42.08</v>
      </c>
      <c r="E57" s="398" t="s">
        <v>311</v>
      </c>
      <c r="F57" s="398">
        <v>45.6</v>
      </c>
      <c r="G57" s="398">
        <v>92</v>
      </c>
    </row>
    <row r="58" spans="2:7" ht="12.75">
      <c r="B58" s="406"/>
      <c r="C58" s="407"/>
      <c r="D58" s="406"/>
      <c r="E58" s="398"/>
      <c r="F58" s="398"/>
      <c r="G58" s="398"/>
    </row>
    <row r="59" spans="1:7" ht="12.75">
      <c r="A59" t="s">
        <v>275</v>
      </c>
      <c r="B59" s="406">
        <v>1.33</v>
      </c>
      <c r="C59" s="407"/>
      <c r="D59" s="406">
        <v>18.02</v>
      </c>
      <c r="E59" s="398" t="s">
        <v>276</v>
      </c>
      <c r="F59" s="398"/>
      <c r="G59" s="398"/>
    </row>
  </sheetData>
  <mergeCells count="5">
    <mergeCell ref="G1:G2"/>
    <mergeCell ref="A1:A2"/>
    <mergeCell ref="D1:D2"/>
    <mergeCell ref="E1:E2"/>
    <mergeCell ref="F1:F2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SIGONNEZ</dc:creator>
  <cp:keywords/>
  <dc:description/>
  <cp:lastModifiedBy>sigonnez.p</cp:lastModifiedBy>
  <dcterms:created xsi:type="dcterms:W3CDTF">2001-08-30T15:32:44Z</dcterms:created>
  <dcterms:modified xsi:type="dcterms:W3CDTF">2006-07-04T16:35:59Z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