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1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<sst xmlns="http://schemas.openxmlformats.org/spreadsheetml/2006/main" count="44" uniqueCount="18">
  <si>
    <t>deltaP</t>
  </si>
  <si>
    <t>Cv=52</t>
  </si>
  <si>
    <t>Cv=40</t>
  </si>
  <si>
    <t>Cv=30</t>
  </si>
  <si>
    <t>Cv=20</t>
  </si>
  <si>
    <t>Cv=10</t>
  </si>
  <si>
    <t>ouverture vanne en %</t>
  </si>
  <si>
    <t>deltaP =4bar</t>
  </si>
  <si>
    <t>deltaP =6bar</t>
  </si>
  <si>
    <t>deltaP =8bar</t>
  </si>
  <si>
    <t>deltaP =10bar</t>
  </si>
  <si>
    <t>deltaP =12bar</t>
  </si>
  <si>
    <t>deltaP =14bar</t>
  </si>
  <si>
    <t>deltaP =16bar</t>
  </si>
  <si>
    <t>P1=</t>
  </si>
  <si>
    <t>P2=</t>
  </si>
  <si>
    <t>Cv</t>
  </si>
  <si>
    <t>ESTIMATION DU DEBIT EN FONCTION DE LA POSITION DE LA VANNE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</si>
</sst>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0\ _€_-;\-* #,##0.0000\ _€_-;_-* &quot;-&quot;??\ _€_-;_-@_-"/>
  </numFmts>
  <fonts count="8">
    <font>
      <sz val="10"/>
      <name val="Arial"/>
      <family val="0"/>
    </font>
    <font>
      <sz val="8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8.25"/>
      <name val="Arial"/>
      <family val="2"/>
    </font>
    <font>
      <sz val="11.2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175"/>
          <c:w val="0.91"/>
          <c:h val="0.9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Cv=52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Feuil1!$A$11:$A$27</c:f>
              <c:numCache/>
            </c:numRef>
          </c:xVal>
          <c:yVal>
            <c:numRef>
              <c:f>Feuil1!$B$11:$B$27</c:f>
              <c:numCache/>
            </c:numRef>
          </c:yVal>
          <c:smooth val="1"/>
        </c:ser>
        <c:ser>
          <c:idx val="1"/>
          <c:order val="1"/>
          <c:tx>
            <c:strRef>
              <c:f>Feuil1!$C$10</c:f>
              <c:strCache>
                <c:ptCount val="1"/>
                <c:pt idx="0">
                  <c:v>Cv=40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Feuil1!$A$11:$A$27</c:f>
              <c:numCache/>
            </c:numRef>
          </c:xVal>
          <c:yVal>
            <c:numRef>
              <c:f>Feuil1!$C$11:$C$27</c:f>
              <c:numCache/>
            </c:numRef>
          </c:yVal>
          <c:smooth val="1"/>
        </c:ser>
        <c:ser>
          <c:idx val="2"/>
          <c:order val="2"/>
          <c:tx>
            <c:strRef>
              <c:f>Feuil1!$D$10</c:f>
              <c:strCache>
                <c:ptCount val="1"/>
                <c:pt idx="0">
                  <c:v>Cv=30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Feuil1!$A$11:$A$27</c:f>
              <c:numCache/>
            </c:numRef>
          </c:xVal>
          <c:yVal>
            <c:numRef>
              <c:f>Feuil1!$D$11:$D$27</c:f>
              <c:numCache/>
            </c:numRef>
          </c:yVal>
          <c:smooth val="1"/>
        </c:ser>
        <c:ser>
          <c:idx val="3"/>
          <c:order val="3"/>
          <c:tx>
            <c:strRef>
              <c:f>Feuil1!$E$10</c:f>
              <c:strCache>
                <c:ptCount val="1"/>
                <c:pt idx="0">
                  <c:v>Cv=20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Feuil1!$A$11:$A$27</c:f>
              <c:numCache/>
            </c:numRef>
          </c:xVal>
          <c:yVal>
            <c:numRef>
              <c:f>Feuil1!$E$11:$E$27</c:f>
              <c:numCache/>
            </c:numRef>
          </c:yVal>
          <c:smooth val="1"/>
        </c:ser>
        <c:ser>
          <c:idx val="4"/>
          <c:order val="4"/>
          <c:tx>
            <c:strRef>
              <c:f>Feuil1!$F$10</c:f>
              <c:strCache>
                <c:ptCount val="1"/>
                <c:pt idx="0">
                  <c:v>Cv=10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Feuil1!$A$11:$A$27</c:f>
              <c:numCache/>
            </c:numRef>
          </c:xVal>
          <c:yVal>
            <c:numRef>
              <c:f>Feuil1!$F$11:$F$27</c:f>
              <c:numCache/>
            </c:numRef>
          </c:yVal>
          <c:smooth val="1"/>
        </c:ser>
        <c:axId val="32781270"/>
        <c:axId val="62778359"/>
      </c:scatterChart>
      <c:valAx>
        <c:axId val="32781270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deltaP en bars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78359"/>
        <c:crosses val="autoZero"/>
        <c:crossBetween val="midCat"/>
        <c:dispUnits/>
        <c:majorUnit val="1"/>
      </c:valAx>
      <c:valAx>
        <c:axId val="62778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en Nm3/h</a:t>
                </a:r>
              </a:p>
            </c:rich>
          </c:tx>
          <c:layout>
            <c:manualLayout>
              <c:xMode val="factor"/>
              <c:yMode val="factor"/>
              <c:x val="0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\ _€_-;\-* #,##0\ _€_-;_-* &quot;-&quot;\ _€_-;_-@_-" sourceLinked="0"/>
        <c:majorTickMark val="out"/>
        <c:minorTickMark val="none"/>
        <c:tickLblPos val="nextTo"/>
        <c:crossAx val="32781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Débit en Nm3/h en fonction de l'ouverture de la vanne
 et pour différentes pressions différentielles
 avec une pression amont de 40 bars</a:t>
            </a:r>
          </a:p>
        </c:rich>
      </c:tx>
      <c:layout>
        <c:manualLayout>
          <c:xMode val="factor"/>
          <c:yMode val="factor"/>
          <c:x val="0.01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97"/>
          <c:w val="0.939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Feuil1!$B$29</c:f>
              <c:strCache>
                <c:ptCount val="1"/>
                <c:pt idx="0">
                  <c:v>deltaP =4bar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Feuil1!$A$30:$A$40</c:f>
              <c:numCache/>
            </c:numRef>
          </c:xVal>
          <c:yVal>
            <c:numRef>
              <c:f>Feuil1!$B$30:$B$40</c:f>
              <c:numCache/>
            </c:numRef>
          </c:yVal>
          <c:smooth val="1"/>
        </c:ser>
        <c:ser>
          <c:idx val="1"/>
          <c:order val="1"/>
          <c:tx>
            <c:strRef>
              <c:f>Feuil1!$C$29</c:f>
              <c:strCache>
                <c:ptCount val="1"/>
                <c:pt idx="0">
                  <c:v>deltaP =6bar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Feuil1!$A$30:$A$40</c:f>
              <c:numCache/>
            </c:numRef>
          </c:xVal>
          <c:yVal>
            <c:numRef>
              <c:f>Feuil1!$C$30:$C$40</c:f>
              <c:numCache/>
            </c:numRef>
          </c:yVal>
          <c:smooth val="1"/>
        </c:ser>
        <c:ser>
          <c:idx val="2"/>
          <c:order val="2"/>
          <c:tx>
            <c:strRef>
              <c:f>Feuil1!$D$29</c:f>
              <c:strCache>
                <c:ptCount val="1"/>
                <c:pt idx="0">
                  <c:v>deltaP =8bar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Feuil1!$A$30:$A$40</c:f>
              <c:numCache/>
            </c:numRef>
          </c:xVal>
          <c:yVal>
            <c:numRef>
              <c:f>Feuil1!$D$30:$D$40</c:f>
              <c:numCache/>
            </c:numRef>
          </c:yVal>
          <c:smooth val="1"/>
        </c:ser>
        <c:ser>
          <c:idx val="3"/>
          <c:order val="3"/>
          <c:tx>
            <c:strRef>
              <c:f>Feuil1!$E$29</c:f>
              <c:strCache>
                <c:ptCount val="1"/>
                <c:pt idx="0">
                  <c:v>deltaP =10bar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Feuil1!$A$30:$A$40</c:f>
              <c:numCache/>
            </c:numRef>
          </c:xVal>
          <c:yVal>
            <c:numRef>
              <c:f>Feuil1!$E$30:$E$40</c:f>
              <c:numCache/>
            </c:numRef>
          </c:yVal>
          <c:smooth val="1"/>
        </c:ser>
        <c:ser>
          <c:idx val="4"/>
          <c:order val="4"/>
          <c:tx>
            <c:strRef>
              <c:f>Feuil1!$F$29</c:f>
              <c:strCache>
                <c:ptCount val="1"/>
                <c:pt idx="0">
                  <c:v>deltaP =12bar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Feuil1!$A$30:$A$40</c:f>
              <c:numCache/>
            </c:numRef>
          </c:xVal>
          <c:yVal>
            <c:numRef>
              <c:f>Feuil1!$F$30:$F$40</c:f>
              <c:numCache/>
            </c:numRef>
          </c:yVal>
          <c:smooth val="1"/>
        </c:ser>
        <c:ser>
          <c:idx val="5"/>
          <c:order val="5"/>
          <c:tx>
            <c:strRef>
              <c:f>Feuil1!$G$29</c:f>
              <c:strCache>
                <c:ptCount val="1"/>
                <c:pt idx="0">
                  <c:v>deltaP =14bar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Feuil1!$A$30:$A$40</c:f>
              <c:numCache/>
            </c:numRef>
          </c:xVal>
          <c:yVal>
            <c:numRef>
              <c:f>Feuil1!$G$30:$G$40</c:f>
              <c:numCache/>
            </c:numRef>
          </c:yVal>
          <c:smooth val="1"/>
        </c:ser>
        <c:ser>
          <c:idx val="6"/>
          <c:order val="6"/>
          <c:tx>
            <c:strRef>
              <c:f>Feuil1!$H$29</c:f>
              <c:strCache>
                <c:ptCount val="1"/>
                <c:pt idx="0">
                  <c:v>deltaP =16bar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Feuil1!$A$30:$A$40</c:f>
              <c:numCache/>
            </c:numRef>
          </c:xVal>
          <c:yVal>
            <c:numRef>
              <c:f>Feuil1!$H$30:$H$40</c:f>
              <c:numCache/>
            </c:numRef>
          </c:yVal>
          <c:smooth val="1"/>
        </c:ser>
        <c:axId val="56240712"/>
        <c:axId val="4331465"/>
      </c:scatterChart>
      <c:valAx>
        <c:axId val="562407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ouverture de la vanne en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1465"/>
        <c:crosses val="autoZero"/>
        <c:crossBetween val="midCat"/>
        <c:dispUnits/>
        <c:majorUnit val="10"/>
      </c:valAx>
      <c:valAx>
        <c:axId val="4331465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en Nm3/h</a:t>
                </a:r>
              </a:p>
            </c:rich>
          </c:tx>
          <c:layout>
            <c:manualLayout>
              <c:xMode val="factor"/>
              <c:yMode val="factor"/>
              <c:x val="0.000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\ _€_-;\-* #,##0\ _€_-;_-* &quot;-&quot;\ _€_-;_-@_-" sourceLinked="0"/>
        <c:majorTickMark val="out"/>
        <c:minorTickMark val="none"/>
        <c:tickLblPos val="nextTo"/>
        <c:crossAx val="56240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2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Débit en Nm3/h en fonction de l'ouverture de la vanne
et pour différentes pressions différentielles 
 avec une pression amont de 40 bars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075"/>
          <c:w val="0.931"/>
          <c:h val="0.7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Feuil1!$B$46</c:f>
              <c:strCache>
                <c:ptCount val="1"/>
                <c:pt idx="0">
                  <c:v>deltaP =4bar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Feuil1!$A$47:$A$57</c:f>
              <c:numCache/>
            </c:numRef>
          </c:xVal>
          <c:yVal>
            <c:numRef>
              <c:f>Feuil1!$B$47:$B$57</c:f>
              <c:numCache/>
            </c:numRef>
          </c:yVal>
          <c:smooth val="1"/>
        </c:ser>
        <c:ser>
          <c:idx val="1"/>
          <c:order val="1"/>
          <c:tx>
            <c:strRef>
              <c:f>Feuil1!$C$46</c:f>
              <c:strCache>
                <c:ptCount val="1"/>
                <c:pt idx="0">
                  <c:v>deltaP =6bar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Feuil1!$A$47:$A$57</c:f>
              <c:numCache/>
            </c:numRef>
          </c:xVal>
          <c:yVal>
            <c:numRef>
              <c:f>Feuil1!$C$47:$C$57</c:f>
              <c:numCache/>
            </c:numRef>
          </c:yVal>
          <c:smooth val="1"/>
        </c:ser>
        <c:ser>
          <c:idx val="2"/>
          <c:order val="2"/>
          <c:tx>
            <c:strRef>
              <c:f>Feuil1!$D$46</c:f>
              <c:strCache>
                <c:ptCount val="1"/>
                <c:pt idx="0">
                  <c:v>deltaP =8bar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Feuil1!$A$47:$A$57</c:f>
              <c:numCache/>
            </c:numRef>
          </c:xVal>
          <c:yVal>
            <c:numRef>
              <c:f>Feuil1!$D$47:$D$57</c:f>
              <c:numCache/>
            </c:numRef>
          </c:yVal>
          <c:smooth val="1"/>
        </c:ser>
        <c:ser>
          <c:idx val="3"/>
          <c:order val="3"/>
          <c:tx>
            <c:strRef>
              <c:f>Feuil1!$E$46</c:f>
              <c:strCache>
                <c:ptCount val="1"/>
                <c:pt idx="0">
                  <c:v>deltaP =10bar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Feuil1!$A$47:$A$57</c:f>
              <c:numCache/>
            </c:numRef>
          </c:xVal>
          <c:yVal>
            <c:numRef>
              <c:f>Feuil1!$E$47:$E$57</c:f>
              <c:numCache/>
            </c:numRef>
          </c:yVal>
          <c:smooth val="1"/>
        </c:ser>
        <c:ser>
          <c:idx val="4"/>
          <c:order val="4"/>
          <c:tx>
            <c:strRef>
              <c:f>Feuil1!$F$46</c:f>
              <c:strCache>
                <c:ptCount val="1"/>
                <c:pt idx="0">
                  <c:v>deltaP =12bar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Feuil1!$A$47:$A$57</c:f>
              <c:numCache/>
            </c:numRef>
          </c:xVal>
          <c:yVal>
            <c:numRef>
              <c:f>Feuil1!$F$47:$F$57</c:f>
              <c:numCache/>
            </c:numRef>
          </c:yVal>
          <c:smooth val="1"/>
        </c:ser>
        <c:ser>
          <c:idx val="5"/>
          <c:order val="5"/>
          <c:tx>
            <c:strRef>
              <c:f>Feuil1!$G$46</c:f>
              <c:strCache>
                <c:ptCount val="1"/>
                <c:pt idx="0">
                  <c:v>deltaP =14bar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Feuil1!$A$47:$A$57</c:f>
              <c:numCache/>
            </c:numRef>
          </c:xVal>
          <c:yVal>
            <c:numRef>
              <c:f>Feuil1!$G$47:$G$57</c:f>
              <c:numCache/>
            </c:numRef>
          </c:yVal>
          <c:smooth val="1"/>
        </c:ser>
        <c:ser>
          <c:idx val="6"/>
          <c:order val="6"/>
          <c:tx>
            <c:strRef>
              <c:f>Feuil1!$H$46</c:f>
              <c:strCache>
                <c:ptCount val="1"/>
                <c:pt idx="0">
                  <c:v>deltaP =16bar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Feuil1!$A$47:$A$57</c:f>
              <c:numCache/>
            </c:numRef>
          </c:xVal>
          <c:yVal>
            <c:numRef>
              <c:f>Feuil1!$H$47:$H$57</c:f>
              <c:numCache/>
            </c:numRef>
          </c:yVal>
          <c:smooth val="1"/>
        </c:ser>
        <c:axId val="10915194"/>
        <c:axId val="65082459"/>
      </c:scatterChart>
      <c:valAx>
        <c:axId val="109151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ouverture de la vanne en %</a:t>
                </a:r>
              </a:p>
            </c:rich>
          </c:tx>
          <c:layout>
            <c:manualLayout>
              <c:xMode val="factor"/>
              <c:yMode val="factor"/>
              <c:x val="-0.0045"/>
              <c:y val="0.06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2459"/>
        <c:crosses val="autoZero"/>
        <c:crossBetween val="midCat"/>
        <c:dispUnits/>
        <c:majorUnit val="10"/>
      </c:valAx>
      <c:valAx>
        <c:axId val="65082459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Débit en Nm3/h</a:t>
                </a:r>
              </a:p>
            </c:rich>
          </c:tx>
          <c:layout>
            <c:manualLayout>
              <c:xMode val="factor"/>
              <c:yMode val="factor"/>
              <c:x val="-0.000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\ _€_-;\-* #,##0\ _€_-;_-* &quot;-&quot;\ _€_-;_-@_-" sourceLinked="0"/>
        <c:majorTickMark val="out"/>
        <c:minorTickMark val="none"/>
        <c:tickLblPos val="nextTo"/>
        <c:crossAx val="10915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Débit en Nm3/h en fonction de l'ouverture de la vanne 
et pour différentes pressions différentielles 
avec une pression aval de 21 bars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045"/>
          <c:w val="0.9595"/>
          <c:h val="0.7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Feuil1!$B$60</c:f>
              <c:strCache>
                <c:ptCount val="1"/>
                <c:pt idx="0">
                  <c:v>deltaP =4bar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Feuil1!$A$61:$A$71</c:f>
              <c:numCache/>
            </c:numRef>
          </c:xVal>
          <c:yVal>
            <c:numRef>
              <c:f>Feuil1!$B$61:$B$71</c:f>
              <c:numCache/>
            </c:numRef>
          </c:yVal>
          <c:smooth val="1"/>
        </c:ser>
        <c:ser>
          <c:idx val="1"/>
          <c:order val="1"/>
          <c:tx>
            <c:strRef>
              <c:f>Feuil1!$C$60</c:f>
              <c:strCache>
                <c:ptCount val="1"/>
                <c:pt idx="0">
                  <c:v>deltaP =6bar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Feuil1!$A$61:$A$71</c:f>
              <c:numCache/>
            </c:numRef>
          </c:xVal>
          <c:yVal>
            <c:numRef>
              <c:f>Feuil1!$C$61:$C$71</c:f>
              <c:numCache/>
            </c:numRef>
          </c:yVal>
          <c:smooth val="1"/>
        </c:ser>
        <c:ser>
          <c:idx val="2"/>
          <c:order val="2"/>
          <c:tx>
            <c:strRef>
              <c:f>Feuil1!$D$60</c:f>
              <c:strCache>
                <c:ptCount val="1"/>
                <c:pt idx="0">
                  <c:v>deltaP =8bar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Feuil1!$A$61:$A$71</c:f>
              <c:numCache/>
            </c:numRef>
          </c:xVal>
          <c:yVal>
            <c:numRef>
              <c:f>Feuil1!$D$61:$D$71</c:f>
              <c:numCache/>
            </c:numRef>
          </c:yVal>
          <c:smooth val="1"/>
        </c:ser>
        <c:ser>
          <c:idx val="3"/>
          <c:order val="3"/>
          <c:tx>
            <c:strRef>
              <c:f>Feuil1!$E$60</c:f>
              <c:strCache>
                <c:ptCount val="1"/>
                <c:pt idx="0">
                  <c:v>deltaP =10bar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Feuil1!$A$61:$A$71</c:f>
              <c:numCache/>
            </c:numRef>
          </c:xVal>
          <c:yVal>
            <c:numRef>
              <c:f>Feuil1!$E$61:$E$71</c:f>
              <c:numCache/>
            </c:numRef>
          </c:yVal>
          <c:smooth val="1"/>
        </c:ser>
        <c:ser>
          <c:idx val="4"/>
          <c:order val="4"/>
          <c:tx>
            <c:strRef>
              <c:f>Feuil1!$F$60</c:f>
              <c:strCache>
                <c:ptCount val="1"/>
                <c:pt idx="0">
                  <c:v>deltaP =12bar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Feuil1!$A$61:$A$71</c:f>
              <c:numCache/>
            </c:numRef>
          </c:xVal>
          <c:yVal>
            <c:numRef>
              <c:f>Feuil1!$F$61:$F$71</c:f>
              <c:numCache/>
            </c:numRef>
          </c:yVal>
          <c:smooth val="1"/>
        </c:ser>
        <c:ser>
          <c:idx val="5"/>
          <c:order val="5"/>
          <c:tx>
            <c:strRef>
              <c:f>Feuil1!$G$60</c:f>
              <c:strCache>
                <c:ptCount val="1"/>
                <c:pt idx="0">
                  <c:v>deltaP =14bar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Feuil1!$A$61:$A$71</c:f>
              <c:numCache/>
            </c:numRef>
          </c:xVal>
          <c:yVal>
            <c:numRef>
              <c:f>Feuil1!$G$61:$G$71</c:f>
              <c:numCache/>
            </c:numRef>
          </c:yVal>
          <c:smooth val="1"/>
        </c:ser>
        <c:ser>
          <c:idx val="6"/>
          <c:order val="6"/>
          <c:tx>
            <c:strRef>
              <c:f>Feuil1!$H$60</c:f>
              <c:strCache>
                <c:ptCount val="1"/>
                <c:pt idx="0">
                  <c:v>deltaP =16bar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Feuil1!$A$61:$A$71</c:f>
              <c:numCache/>
            </c:numRef>
          </c:xVal>
          <c:yVal>
            <c:numRef>
              <c:f>Feuil1!$H$61:$H$71</c:f>
              <c:numCache/>
            </c:numRef>
          </c:yVal>
          <c:smooth val="1"/>
        </c:ser>
        <c:axId val="34923884"/>
        <c:axId val="33548717"/>
      </c:scatterChart>
      <c:valAx>
        <c:axId val="349238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Ouverture de la vanne en 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48717"/>
        <c:crosses val="autoZero"/>
        <c:crossBetween val="midCat"/>
        <c:dispUnits/>
        <c:majorUnit val="10"/>
      </c:valAx>
      <c:valAx>
        <c:axId val="3354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Debit en Nm3/h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\ _€_-;\-* #,##0\ _€_-;_-* &quot;-&quot;\ _€_-;_-@_-" sourceLinked="0"/>
        <c:majorTickMark val="out"/>
        <c:minorTickMark val="none"/>
        <c:tickLblPos val="nextTo"/>
        <c:crossAx val="34923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2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Débit en Nm3/h en fonction de l'ouverture de la vanne 
et pour différentes pressions  différentielles
 avec une pression aval de 21 bars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16"/>
          <c:w val="0.97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Feuil1!$B$80</c:f>
              <c:strCache>
                <c:ptCount val="1"/>
                <c:pt idx="0">
                  <c:v>deltaP =4bar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Feuil1!$A$81:$A$91</c:f>
              <c:numCache/>
            </c:numRef>
          </c:xVal>
          <c:yVal>
            <c:numRef>
              <c:f>Feuil1!$B$81:$B$91</c:f>
              <c:numCache/>
            </c:numRef>
          </c:yVal>
          <c:smooth val="1"/>
        </c:ser>
        <c:ser>
          <c:idx val="1"/>
          <c:order val="1"/>
          <c:tx>
            <c:strRef>
              <c:f>Feuil1!$C$80</c:f>
              <c:strCache>
                <c:ptCount val="1"/>
                <c:pt idx="0">
                  <c:v>deltaP =6bar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Feuil1!$A$81:$A$91</c:f>
              <c:numCache/>
            </c:numRef>
          </c:xVal>
          <c:yVal>
            <c:numRef>
              <c:f>Feuil1!$C$81:$C$91</c:f>
              <c:numCache/>
            </c:numRef>
          </c:yVal>
          <c:smooth val="1"/>
        </c:ser>
        <c:ser>
          <c:idx val="2"/>
          <c:order val="2"/>
          <c:tx>
            <c:strRef>
              <c:f>Feuil1!$D$80</c:f>
              <c:strCache>
                <c:ptCount val="1"/>
                <c:pt idx="0">
                  <c:v>deltaP =8bar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Feuil1!$A$81:$A$91</c:f>
              <c:numCache/>
            </c:numRef>
          </c:xVal>
          <c:yVal>
            <c:numRef>
              <c:f>Feuil1!$D$81:$D$91</c:f>
              <c:numCache/>
            </c:numRef>
          </c:yVal>
          <c:smooth val="1"/>
        </c:ser>
        <c:ser>
          <c:idx val="3"/>
          <c:order val="3"/>
          <c:tx>
            <c:strRef>
              <c:f>Feuil1!$E$80</c:f>
              <c:strCache>
                <c:ptCount val="1"/>
                <c:pt idx="0">
                  <c:v>deltaP =10bar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Feuil1!$A$81:$A$91</c:f>
              <c:numCache/>
            </c:numRef>
          </c:xVal>
          <c:yVal>
            <c:numRef>
              <c:f>Feuil1!$E$81:$E$91</c:f>
              <c:numCache/>
            </c:numRef>
          </c:yVal>
          <c:smooth val="1"/>
        </c:ser>
        <c:ser>
          <c:idx val="4"/>
          <c:order val="4"/>
          <c:tx>
            <c:strRef>
              <c:f>Feuil1!$F$80</c:f>
              <c:strCache>
                <c:ptCount val="1"/>
                <c:pt idx="0">
                  <c:v>deltaP =12bar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Feuil1!$A$81:$A$91</c:f>
              <c:numCache/>
            </c:numRef>
          </c:xVal>
          <c:yVal>
            <c:numRef>
              <c:f>Feuil1!$F$81:$F$91</c:f>
              <c:numCache/>
            </c:numRef>
          </c:yVal>
          <c:smooth val="1"/>
        </c:ser>
        <c:ser>
          <c:idx val="5"/>
          <c:order val="5"/>
          <c:tx>
            <c:strRef>
              <c:f>Feuil1!$G$80</c:f>
              <c:strCache>
                <c:ptCount val="1"/>
                <c:pt idx="0">
                  <c:v>deltaP =14bar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Feuil1!$A$81:$A$91</c:f>
              <c:numCache/>
            </c:numRef>
          </c:xVal>
          <c:yVal>
            <c:numRef>
              <c:f>Feuil1!$G$81:$G$91</c:f>
              <c:numCache/>
            </c:numRef>
          </c:yVal>
          <c:smooth val="1"/>
        </c:ser>
        <c:ser>
          <c:idx val="6"/>
          <c:order val="6"/>
          <c:tx>
            <c:strRef>
              <c:f>Feuil1!$H$80</c:f>
              <c:strCache>
                <c:ptCount val="1"/>
                <c:pt idx="0">
                  <c:v>deltaP =16bar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Feuil1!$A$81:$A$91</c:f>
              <c:numCache/>
            </c:numRef>
          </c:xVal>
          <c:yVal>
            <c:numRef>
              <c:f>Feuil1!$H$81:$H$91</c:f>
              <c:numCache/>
            </c:numRef>
          </c:yVal>
          <c:smooth val="1"/>
        </c:ser>
        <c:axId val="33274398"/>
        <c:axId val="19832767"/>
      </c:scatterChart>
      <c:valAx>
        <c:axId val="332743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Ouverture de la vanne en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8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832767"/>
        <c:crosses val="autoZero"/>
        <c:crossBetween val="midCat"/>
        <c:dispUnits/>
        <c:majorUnit val="10"/>
      </c:valAx>
      <c:valAx>
        <c:axId val="19832767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Débit en Nm3/h</a:t>
                </a:r>
              </a:p>
            </c:rich>
          </c:tx>
          <c:layout>
            <c:manualLayout>
              <c:xMode val="factor"/>
              <c:yMode val="factor"/>
              <c:x val="0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\ _€_-;\-* #,##0\ _€_-;_-* &quot;-&quot;\ _€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274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8</xdr:row>
      <xdr:rowOff>66675</xdr:rowOff>
    </xdr:from>
    <xdr:to>
      <xdr:col>13</xdr:col>
      <xdr:colOff>657225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6429375" y="1362075"/>
        <a:ext cx="3562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27</xdr:row>
      <xdr:rowOff>123825</xdr:rowOff>
    </xdr:from>
    <xdr:to>
      <xdr:col>15</xdr:col>
      <xdr:colOff>190500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6400800" y="4495800"/>
        <a:ext cx="46482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43</xdr:row>
      <xdr:rowOff>152400</xdr:rowOff>
    </xdr:from>
    <xdr:to>
      <xdr:col>15</xdr:col>
      <xdr:colOff>200025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6410325" y="7115175"/>
        <a:ext cx="46482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60</xdr:row>
      <xdr:rowOff>142875</xdr:rowOff>
    </xdr:from>
    <xdr:to>
      <xdr:col>15</xdr:col>
      <xdr:colOff>238125</xdr:colOff>
      <xdr:row>76</xdr:row>
      <xdr:rowOff>152400</xdr:rowOff>
    </xdr:to>
    <xdr:graphicFrame>
      <xdr:nvGraphicFramePr>
        <xdr:cNvPr id="4" name="Chart 4"/>
        <xdr:cNvGraphicFramePr/>
      </xdr:nvGraphicFramePr>
      <xdr:xfrm>
        <a:off x="6296025" y="9858375"/>
        <a:ext cx="48006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79</xdr:row>
      <xdr:rowOff>0</xdr:rowOff>
    </xdr:from>
    <xdr:to>
      <xdr:col>15</xdr:col>
      <xdr:colOff>285750</xdr:colOff>
      <xdr:row>95</xdr:row>
      <xdr:rowOff>9525</xdr:rowOff>
    </xdr:to>
    <xdr:graphicFrame>
      <xdr:nvGraphicFramePr>
        <xdr:cNvPr id="5" name="Chart 5"/>
        <xdr:cNvGraphicFramePr/>
      </xdr:nvGraphicFramePr>
      <xdr:xfrm>
        <a:off x="6276975" y="12792075"/>
        <a:ext cx="486727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1">
      <selection activeCell="H76" sqref="H76"/>
    </sheetView>
  </sheetViews>
  <sheetFormatPr defaultColWidth="11.421875" defaultRowHeight="12.75"/>
  <cols>
    <col min="1" max="1" width="5.57421875" style="0" customWidth="1"/>
    <col min="2" max="2" width="11.7109375" style="0" customWidth="1"/>
    <col min="3" max="3" width="13.8515625" style="0" bestFit="1" customWidth="1"/>
    <col min="9" max="9" width="6.00390625" style="0" customWidth="1"/>
  </cols>
  <sheetData>
    <row r="2" ht="12.75">
      <c r="A2" s="4" t="s">
        <v>17</v>
      </c>
    </row>
    <row r="5" spans="1:2" ht="12.75">
      <c r="A5" s="2" t="s">
        <v>14</v>
      </c>
      <c r="B5">
        <v>40</v>
      </c>
    </row>
    <row r="6" spans="1:2" ht="12.75">
      <c r="A6" s="2" t="s">
        <v>15</v>
      </c>
      <c r="B6">
        <v>21</v>
      </c>
    </row>
    <row r="10" spans="1:6" ht="12.7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</row>
    <row r="11" spans="1:6" ht="12.75">
      <c r="A11">
        <v>0</v>
      </c>
      <c r="B11" s="3">
        <f>295*52*SQRT((A11*($B$5+($B$5-A11))/(0.723*(273.15+23))))</f>
        <v>0</v>
      </c>
      <c r="C11" s="3">
        <f>295*40*SQRT((A11*($B$5+($B$5-A11))/(0.723*(273.15+23))))</f>
        <v>0</v>
      </c>
      <c r="D11" s="3">
        <f>295*30*SQRT((A11*($B$5+($B$5-A11))/(0.723*(273.15+23))))</f>
        <v>0</v>
      </c>
      <c r="E11" s="3">
        <f>295*20*SQRT((A11*($B$5+($B$5-A11))/(0.723*(273.15+23))))</f>
        <v>0</v>
      </c>
      <c r="F11" s="3">
        <f>295*10*SQRT((A11*($B$5+($B$5-A11))/(0.723*(273.15+23))))</f>
        <v>0</v>
      </c>
    </row>
    <row r="12" spans="1:6" ht="12.75">
      <c r="A12">
        <v>1</v>
      </c>
      <c r="B12" s="3">
        <f aca="true" t="shared" si="0" ref="B12:B27">295*52*SQRT((A12*($B$5+($B$5-A12))/(0.723*(273.15+23))))</f>
        <v>9317.810807648011</v>
      </c>
      <c r="C12" s="3">
        <f aca="true" t="shared" si="1" ref="C12:C27">295*40*SQRT((A12*($B$5+($B$5-A12))/(0.723*(273.15+23))))</f>
        <v>7167.546775113855</v>
      </c>
      <c r="D12" s="3">
        <f aca="true" t="shared" si="2" ref="D12:D27">295*30*SQRT((A12*($B$5+($B$5-A12))/(0.723*(273.15+23))))</f>
        <v>5375.660081335391</v>
      </c>
      <c r="E12" s="3">
        <f aca="true" t="shared" si="3" ref="E12:E27">295*20*SQRT((A12*($B$5+($B$5-A12))/(0.723*(273.15+23))))</f>
        <v>3583.7733875569274</v>
      </c>
      <c r="F12" s="3">
        <f aca="true" t="shared" si="4" ref="F12:F27">295*10*SQRT((A12*($B$5+($B$5-A12))/(0.723*(273.15+23))))</f>
        <v>1791.8866937784637</v>
      </c>
    </row>
    <row r="13" spans="1:6" ht="12.75">
      <c r="A13">
        <v>2</v>
      </c>
      <c r="B13" s="3">
        <f t="shared" si="0"/>
        <v>13093.707700599833</v>
      </c>
      <c r="C13" s="3">
        <f t="shared" si="1"/>
        <v>10072.082846615256</v>
      </c>
      <c r="D13" s="3">
        <f t="shared" si="2"/>
        <v>7554.062134961442</v>
      </c>
      <c r="E13" s="3">
        <f t="shared" si="3"/>
        <v>5036.041423307628</v>
      </c>
      <c r="F13" s="3">
        <f t="shared" si="4"/>
        <v>2518.020711653814</v>
      </c>
    </row>
    <row r="14" spans="1:6" ht="12.75">
      <c r="A14">
        <v>3</v>
      </c>
      <c r="B14" s="3">
        <f t="shared" si="0"/>
        <v>15933.321979577138</v>
      </c>
      <c r="C14" s="3">
        <f t="shared" si="1"/>
        <v>12256.401522751645</v>
      </c>
      <c r="D14" s="3">
        <f t="shared" si="2"/>
        <v>9192.301142063734</v>
      </c>
      <c r="E14" s="3">
        <f t="shared" si="3"/>
        <v>6128.200761375822</v>
      </c>
      <c r="F14" s="3">
        <f t="shared" si="4"/>
        <v>3064.100380687911</v>
      </c>
    </row>
    <row r="15" spans="1:6" ht="12.75">
      <c r="A15">
        <v>4</v>
      </c>
      <c r="B15" s="3">
        <f t="shared" si="0"/>
        <v>18278.356110862587</v>
      </c>
      <c r="C15" s="3">
        <f t="shared" si="1"/>
        <v>14060.27393143276</v>
      </c>
      <c r="D15" s="3">
        <f t="shared" si="2"/>
        <v>10545.20544857457</v>
      </c>
      <c r="E15" s="3">
        <f t="shared" si="3"/>
        <v>7030.13696571638</v>
      </c>
      <c r="F15" s="3">
        <f t="shared" si="4"/>
        <v>3515.06848285819</v>
      </c>
    </row>
    <row r="16" spans="1:6" ht="12.75">
      <c r="A16">
        <v>5</v>
      </c>
      <c r="B16" s="3">
        <f t="shared" si="0"/>
        <v>20300.931992907193</v>
      </c>
      <c r="C16" s="3">
        <f t="shared" si="1"/>
        <v>15616.101533005532</v>
      </c>
      <c r="D16" s="3">
        <f t="shared" si="2"/>
        <v>11712.07614975415</v>
      </c>
      <c r="E16" s="3">
        <f t="shared" si="3"/>
        <v>7808.050766502766</v>
      </c>
      <c r="F16" s="3">
        <f t="shared" si="4"/>
        <v>3904.025383251383</v>
      </c>
    </row>
    <row r="17" spans="1:6" ht="12.75">
      <c r="A17">
        <v>6</v>
      </c>
      <c r="B17" s="3">
        <f t="shared" si="0"/>
        <v>22089.80222410968</v>
      </c>
      <c r="C17" s="3">
        <f t="shared" si="1"/>
        <v>16992.15555700745</v>
      </c>
      <c r="D17" s="3">
        <f t="shared" si="2"/>
        <v>12744.116667755587</v>
      </c>
      <c r="E17" s="3">
        <f t="shared" si="3"/>
        <v>8496.077778503724</v>
      </c>
      <c r="F17" s="3">
        <f t="shared" si="4"/>
        <v>4248.038889251862</v>
      </c>
    </row>
    <row r="18" spans="1:6" ht="12.75">
      <c r="A18">
        <v>7</v>
      </c>
      <c r="B18" s="3">
        <f t="shared" si="0"/>
        <v>23697.95074841752</v>
      </c>
      <c r="C18" s="3">
        <f t="shared" si="1"/>
        <v>18229.192883398093</v>
      </c>
      <c r="D18" s="3">
        <f t="shared" si="2"/>
        <v>13671.89466254857</v>
      </c>
      <c r="E18" s="3">
        <f t="shared" si="3"/>
        <v>9114.596441699046</v>
      </c>
      <c r="F18" s="3">
        <f t="shared" si="4"/>
        <v>4557.298220849523</v>
      </c>
    </row>
    <row r="19" spans="1:6" ht="12.75">
      <c r="A19">
        <v>8</v>
      </c>
      <c r="B19" s="3">
        <f t="shared" si="0"/>
        <v>25160.054886726048</v>
      </c>
      <c r="C19" s="3">
        <f t="shared" si="1"/>
        <v>19353.88837440465</v>
      </c>
      <c r="D19" s="3">
        <f t="shared" si="2"/>
        <v>14515.416280803489</v>
      </c>
      <c r="E19" s="3">
        <f t="shared" si="3"/>
        <v>9676.944187202325</v>
      </c>
      <c r="F19" s="3">
        <f t="shared" si="4"/>
        <v>4838.472093601163</v>
      </c>
    </row>
    <row r="20" spans="1:6" ht="12.75">
      <c r="A20">
        <v>9</v>
      </c>
      <c r="B20" s="3">
        <f t="shared" si="0"/>
        <v>26500.29884711143</v>
      </c>
      <c r="C20" s="3">
        <f t="shared" si="1"/>
        <v>20384.84526700879</v>
      </c>
      <c r="D20" s="3">
        <f t="shared" si="2"/>
        <v>15288.633950256593</v>
      </c>
      <c r="E20" s="3">
        <f t="shared" si="3"/>
        <v>10192.422633504395</v>
      </c>
      <c r="F20" s="3">
        <f t="shared" si="4"/>
        <v>5096.2113167521975</v>
      </c>
    </row>
    <row r="21" spans="1:6" ht="12.75">
      <c r="A21">
        <v>10</v>
      </c>
      <c r="B21" s="3">
        <f t="shared" si="0"/>
        <v>27736.353417921873</v>
      </c>
      <c r="C21" s="3">
        <f t="shared" si="1"/>
        <v>21335.65647532452</v>
      </c>
      <c r="D21" s="3">
        <f t="shared" si="2"/>
        <v>16001.742356493389</v>
      </c>
      <c r="E21" s="3">
        <f t="shared" si="3"/>
        <v>10667.82823766226</v>
      </c>
      <c r="F21" s="3">
        <f t="shared" si="4"/>
        <v>5333.91411883113</v>
      </c>
    </row>
    <row r="22" spans="1:6" ht="12.75">
      <c r="A22">
        <v>11</v>
      </c>
      <c r="B22" s="3">
        <f t="shared" si="0"/>
        <v>28881.598773544738</v>
      </c>
      <c r="C22" s="3">
        <f t="shared" si="1"/>
        <v>22216.61444118826</v>
      </c>
      <c r="D22" s="3">
        <f t="shared" si="2"/>
        <v>16662.460830891196</v>
      </c>
      <c r="E22" s="3">
        <f t="shared" si="3"/>
        <v>11108.30722059413</v>
      </c>
      <c r="F22" s="3">
        <f t="shared" si="4"/>
        <v>5554.153610297065</v>
      </c>
    </row>
    <row r="23" spans="1:6" ht="12.75">
      <c r="A23">
        <v>12</v>
      </c>
      <c r="B23" s="3">
        <f t="shared" si="0"/>
        <v>29946.455205293973</v>
      </c>
      <c r="C23" s="3">
        <f t="shared" si="1"/>
        <v>23035.734773303055</v>
      </c>
      <c r="D23" s="3">
        <f t="shared" si="2"/>
        <v>17276.801079977293</v>
      </c>
      <c r="E23" s="3">
        <f t="shared" si="3"/>
        <v>11517.867386651527</v>
      </c>
      <c r="F23" s="3">
        <f t="shared" si="4"/>
        <v>5758.933693325764</v>
      </c>
    </row>
    <row r="24" spans="1:6" ht="12.75">
      <c r="A24">
        <v>13</v>
      </c>
      <c r="B24" s="3">
        <f t="shared" si="0"/>
        <v>30939.2242285394</v>
      </c>
      <c r="C24" s="3">
        <f t="shared" si="1"/>
        <v>23799.403252722615</v>
      </c>
      <c r="D24" s="3">
        <f t="shared" si="2"/>
        <v>17849.55243954196</v>
      </c>
      <c r="E24" s="3">
        <f t="shared" si="3"/>
        <v>11899.701626361308</v>
      </c>
      <c r="F24" s="3">
        <f t="shared" si="4"/>
        <v>5949.850813180654</v>
      </c>
    </row>
    <row r="25" spans="1:6" ht="12.75">
      <c r="A25">
        <v>14</v>
      </c>
      <c r="B25" s="3">
        <f t="shared" si="0"/>
        <v>31866.643959154277</v>
      </c>
      <c r="C25" s="3">
        <f t="shared" si="1"/>
        <v>24512.80304550329</v>
      </c>
      <c r="D25" s="3">
        <f t="shared" si="2"/>
        <v>18384.602284127468</v>
      </c>
      <c r="E25" s="3">
        <f t="shared" si="3"/>
        <v>12256.401522751645</v>
      </c>
      <c r="F25" s="3">
        <f t="shared" si="4"/>
        <v>6128.200761375822</v>
      </c>
    </row>
    <row r="26" spans="1:6" ht="12.75">
      <c r="A26">
        <v>15</v>
      </c>
      <c r="B26" s="3">
        <f t="shared" si="0"/>
        <v>32734.269251499587</v>
      </c>
      <c r="C26" s="3">
        <f t="shared" si="1"/>
        <v>25180.207116538142</v>
      </c>
      <c r="D26" s="3">
        <f t="shared" si="2"/>
        <v>18885.15533740361</v>
      </c>
      <c r="E26" s="3">
        <f t="shared" si="3"/>
        <v>12590.103558269071</v>
      </c>
      <c r="F26" s="3">
        <f t="shared" si="4"/>
        <v>6295.0517791345355</v>
      </c>
    </row>
    <row r="27" spans="1:6" ht="12.75">
      <c r="A27">
        <v>16</v>
      </c>
      <c r="B27" s="3">
        <f t="shared" si="0"/>
        <v>33546.73984896806</v>
      </c>
      <c r="C27" s="3">
        <f t="shared" si="1"/>
        <v>25805.184499206203</v>
      </c>
      <c r="D27" s="3">
        <f t="shared" si="2"/>
        <v>19353.888374404654</v>
      </c>
      <c r="E27" s="3">
        <f t="shared" si="3"/>
        <v>12902.592249603102</v>
      </c>
      <c r="F27" s="3">
        <f t="shared" si="4"/>
        <v>6451.296124801551</v>
      </c>
    </row>
    <row r="29" spans="1:9" ht="12.75">
      <c r="A29" t="s">
        <v>6</v>
      </c>
      <c r="B29" t="s">
        <v>7</v>
      </c>
      <c r="C29" t="s">
        <v>8</v>
      </c>
      <c r="D29" t="s">
        <v>9</v>
      </c>
      <c r="E29" t="s">
        <v>10</v>
      </c>
      <c r="F29" t="s">
        <v>11</v>
      </c>
      <c r="G29" t="s">
        <v>12</v>
      </c>
      <c r="H29" t="s">
        <v>13</v>
      </c>
      <c r="I29" t="s">
        <v>16</v>
      </c>
    </row>
    <row r="30" spans="1:9" ht="12.75">
      <c r="A30">
        <v>0</v>
      </c>
      <c r="B30" s="1">
        <f>295*(52/100)*(EXP(A30/21.69)-1)*SQRT((4*($B$5+($B$5-4))/(0.724*(273+23))))</f>
        <v>0</v>
      </c>
      <c r="C30" s="3">
        <f>295*(52/100)*(EXP(A30/21.69)-1)*SQRT((6*($B$5+($B$5-6))/(0.724*(273+23))))</f>
        <v>0</v>
      </c>
      <c r="D30" s="3">
        <f>295*(52/100)*(EXP(A30/21.69)-1)*SQRT((8*($B$5+($B$5-8))/(0.724*(273+23))))</f>
        <v>0</v>
      </c>
      <c r="E30" s="3">
        <f>295*(52/100)*(EXP(A30/21.69)-1)*SQRT((10*($B$5+($B$5-10))/(0.724*(273+23))))</f>
        <v>0</v>
      </c>
      <c r="F30" s="3">
        <f>295*(52/100)*(EXP(A30/21.69)-1)*SQRT((12*($B$5+($B$5-12))/(0.724*(273+23))))</f>
        <v>0</v>
      </c>
      <c r="G30" s="3">
        <f>295*(52/100)*(EXP(A30/21.69)-1)*SQRT((14*($B$5+($B$5-14))/(0.724*(273+23))))</f>
        <v>0</v>
      </c>
      <c r="H30" s="3">
        <f>295*(52/100)*(EXP(A30/21.69)-1)*SQRT((16*($B$5+($B$5-16))/(0.724*(273+23))))</f>
        <v>0</v>
      </c>
      <c r="I30">
        <f>EXP(A30/21.69)-1</f>
        <v>0</v>
      </c>
    </row>
    <row r="31" spans="1:9" ht="12.75">
      <c r="A31">
        <v>10</v>
      </c>
      <c r="B31" s="1">
        <f aca="true" t="shared" si="5" ref="B31:B40">295*(52/100)*(EXP(A31/21.69)-1)*SQRT((4*($B$5+($B$5-4))/(0.724*(273+23))))</f>
        <v>107.01411262962962</v>
      </c>
      <c r="C31" s="3">
        <f aca="true" t="shared" si="6" ref="C31:C40">295*(52/100)*(EXP(A31/21.69)-1)*SQRT((6*($B$5+($B$5-6))/(0.724*(273+23))))</f>
        <v>129.32894888574083</v>
      </c>
      <c r="D31" s="3">
        <f aca="true" t="shared" si="7" ref="D31:D40">295*(52/100)*(EXP(A31/21.69)-1)*SQRT((8*($B$5+($B$5-8))/(0.724*(273+23))))</f>
        <v>147.30432710060057</v>
      </c>
      <c r="E31" s="3">
        <f aca="true" t="shared" si="8" ref="E31:E40">295*(52/100)*(EXP(A31/21.69)-1)*SQRT((10*($B$5+($B$5-10))/(0.724*(273+23))))</f>
        <v>162.38775689662555</v>
      </c>
      <c r="F31" s="3">
        <f aca="true" t="shared" si="9" ref="F31:F40">295*(52/100)*(EXP(A31/21.69)-1)*SQRT((12*($B$5+($B$5-12))/(0.724*(273+23))))</f>
        <v>175.32721820060067</v>
      </c>
      <c r="G31" s="3">
        <f aca="true" t="shared" si="10" ref="G31:G40">295*(52/100)*(EXP(A31/21.69)-1)*SQRT((14*($B$5+($B$5-14))/(0.724*(273+23))))</f>
        <v>186.56932850469065</v>
      </c>
      <c r="H31" s="3">
        <f aca="true" t="shared" si="11" ref="H31:H40">295*(52/100)*(EXP(A31/21.69)-1)*SQRT((16*($B$5+($B$5-16))/(0.724*(273+23))))</f>
        <v>196.40576946746745</v>
      </c>
      <c r="I31">
        <f aca="true" t="shared" si="12" ref="I31:I40">EXP(A31/21.69)-1</f>
        <v>0.585725378704449</v>
      </c>
    </row>
    <row r="32" spans="1:9" ht="12.75">
      <c r="A32">
        <v>20</v>
      </c>
      <c r="B32" s="1">
        <f t="shared" si="5"/>
        <v>276.70910690596963</v>
      </c>
      <c r="C32" s="3">
        <f t="shared" si="6"/>
        <v>334.40914533503053</v>
      </c>
      <c r="D32" s="3">
        <f t="shared" si="7"/>
        <v>380.8885369770045</v>
      </c>
      <c r="E32" s="3">
        <f t="shared" si="8"/>
        <v>419.8901441984931</v>
      </c>
      <c r="F32" s="3">
        <f t="shared" si="9"/>
        <v>453.34803767894573</v>
      </c>
      <c r="G32" s="3">
        <f t="shared" si="10"/>
        <v>482.417047602426</v>
      </c>
      <c r="H32" s="3">
        <f t="shared" si="11"/>
        <v>507.851382636006</v>
      </c>
      <c r="I32">
        <f t="shared" si="12"/>
        <v>1.514524976667368</v>
      </c>
    </row>
    <row r="33" spans="1:9" ht="12.75">
      <c r="A33">
        <v>30</v>
      </c>
      <c r="B33" s="1">
        <f t="shared" si="5"/>
        <v>545.7987659690681</v>
      </c>
      <c r="C33" s="3">
        <f t="shared" si="6"/>
        <v>659.6100175143632</v>
      </c>
      <c r="D33" s="3">
        <f t="shared" si="7"/>
        <v>751.2889466426445</v>
      </c>
      <c r="E33" s="3">
        <f t="shared" si="8"/>
        <v>828.2182148200467</v>
      </c>
      <c r="F33" s="3">
        <f t="shared" si="9"/>
        <v>894.2127069339657</v>
      </c>
      <c r="G33" s="3">
        <f t="shared" si="10"/>
        <v>951.5502840075297</v>
      </c>
      <c r="H33" s="3">
        <f t="shared" si="11"/>
        <v>1001.7185955235261</v>
      </c>
      <c r="I33">
        <f t="shared" si="12"/>
        <v>2.987346070887658</v>
      </c>
    </row>
    <row r="34" spans="1:9" ht="12.75">
      <c r="A34">
        <v>40</v>
      </c>
      <c r="B34" s="1">
        <f t="shared" si="5"/>
        <v>972.501067492351</v>
      </c>
      <c r="C34" s="3">
        <f t="shared" si="6"/>
        <v>1175.2892937059526</v>
      </c>
      <c r="D34" s="3">
        <f t="shared" si="7"/>
        <v>1338.6422765319744</v>
      </c>
      <c r="E34" s="3">
        <f t="shared" si="8"/>
        <v>1475.7143992420665</v>
      </c>
      <c r="F34" s="3">
        <f t="shared" si="9"/>
        <v>1593.3030015457937</v>
      </c>
      <c r="G34" s="3">
        <f t="shared" si="10"/>
        <v>1695.4667629688565</v>
      </c>
      <c r="H34" s="3">
        <f t="shared" si="11"/>
        <v>1784.8563687092994</v>
      </c>
      <c r="I34">
        <f t="shared" si="12"/>
        <v>5.322835858284027</v>
      </c>
    </row>
    <row r="35" spans="1:9" ht="12.75">
      <c r="A35">
        <v>50</v>
      </c>
      <c r="B35" s="1">
        <f t="shared" si="5"/>
        <v>1649.1337361694186</v>
      </c>
      <c r="C35" s="3">
        <f t="shared" si="6"/>
        <v>1993.015009234897</v>
      </c>
      <c r="D35" s="3">
        <f t="shared" si="7"/>
        <v>2270.0233580040513</v>
      </c>
      <c r="E35" s="3">
        <f t="shared" si="8"/>
        <v>2502.4655314943598</v>
      </c>
      <c r="F35" s="3">
        <f t="shared" si="9"/>
        <v>2701.8682237177395</v>
      </c>
      <c r="G35" s="3">
        <f t="shared" si="10"/>
        <v>2875.114003294287</v>
      </c>
      <c r="H35" s="3">
        <f t="shared" si="11"/>
        <v>3026.697810672069</v>
      </c>
      <c r="I35">
        <f t="shared" si="12"/>
        <v>9.026281285863508</v>
      </c>
    </row>
    <row r="36" spans="1:9" ht="12.75">
      <c r="A36">
        <v>60</v>
      </c>
      <c r="B36" s="1">
        <f t="shared" si="5"/>
        <v>2722.0873309511644</v>
      </c>
      <c r="C36" s="3">
        <f t="shared" si="6"/>
        <v>3289.703429168399</v>
      </c>
      <c r="D36" s="3">
        <f t="shared" si="7"/>
        <v>3746.9379761395203</v>
      </c>
      <c r="E36" s="3">
        <f t="shared" si="8"/>
        <v>4130.61085952035</v>
      </c>
      <c r="F36" s="3">
        <f t="shared" si="9"/>
        <v>4459.74823046493</v>
      </c>
      <c r="G36" s="3">
        <f t="shared" si="10"/>
        <v>4745.710570196989</v>
      </c>
      <c r="H36" s="3">
        <f t="shared" si="11"/>
        <v>4995.917301519361</v>
      </c>
      <c r="I36">
        <f t="shared" si="12"/>
        <v>14.898928689023244</v>
      </c>
    </row>
    <row r="37" spans="1:9" ht="12.75">
      <c r="A37">
        <v>70</v>
      </c>
      <c r="B37" s="1">
        <f t="shared" si="5"/>
        <v>4423.497076368746</v>
      </c>
      <c r="C37" s="3">
        <f t="shared" si="6"/>
        <v>5345.895164929123</v>
      </c>
      <c r="D37" s="3">
        <f t="shared" si="7"/>
        <v>6088.918968296521</v>
      </c>
      <c r="E37" s="3">
        <f t="shared" si="8"/>
        <v>6712.40222639024</v>
      </c>
      <c r="F37" s="3">
        <f t="shared" si="9"/>
        <v>7247.2631698810965</v>
      </c>
      <c r="G37" s="3">
        <f t="shared" si="10"/>
        <v>7711.963019652015</v>
      </c>
      <c r="H37" s="3">
        <f t="shared" si="11"/>
        <v>8118.558624395362</v>
      </c>
      <c r="I37">
        <f t="shared" si="12"/>
        <v>24.211334716396404</v>
      </c>
    </row>
    <row r="38" spans="1:9" ht="12.75">
      <c r="A38">
        <v>80</v>
      </c>
      <c r="B38" s="1">
        <f t="shared" si="5"/>
        <v>7121.465689252483</v>
      </c>
      <c r="C38" s="3">
        <f t="shared" si="6"/>
        <v>8606.450583807258</v>
      </c>
      <c r="D38" s="3">
        <f t="shared" si="7"/>
        <v>9802.657664003305</v>
      </c>
      <c r="E38" s="3">
        <f t="shared" si="8"/>
        <v>10806.414319355876</v>
      </c>
      <c r="F38" s="3">
        <f t="shared" si="9"/>
        <v>11667.49635283111</v>
      </c>
      <c r="G38" s="3">
        <f t="shared" si="10"/>
        <v>12415.624808397088</v>
      </c>
      <c r="H38" s="3">
        <f t="shared" si="11"/>
        <v>13070.210218671074</v>
      </c>
      <c r="I38">
        <f t="shared" si="12"/>
        <v>38.978253290802314</v>
      </c>
    </row>
    <row r="39" spans="1:9" ht="12.75">
      <c r="A39">
        <v>90</v>
      </c>
      <c r="B39" s="1">
        <f t="shared" si="5"/>
        <v>11399.702989650259</v>
      </c>
      <c r="C39" s="3">
        <f t="shared" si="6"/>
        <v>13776.796060194627</v>
      </c>
      <c r="D39" s="3">
        <f t="shared" si="7"/>
        <v>15691.627363662308</v>
      </c>
      <c r="E39" s="3">
        <f t="shared" si="8"/>
        <v>17298.393195894398</v>
      </c>
      <c r="F39" s="3">
        <f t="shared" si="9"/>
        <v>18676.772290826484</v>
      </c>
      <c r="G39" s="3">
        <f t="shared" si="10"/>
        <v>19874.340679652512</v>
      </c>
      <c r="H39" s="3">
        <f t="shared" si="11"/>
        <v>20922.16981821641</v>
      </c>
      <c r="I39">
        <f t="shared" si="12"/>
        <v>62.394530839499865</v>
      </c>
    </row>
    <row r="40" spans="1:9" ht="12.75">
      <c r="A40">
        <v>100</v>
      </c>
      <c r="B40" s="1">
        <f t="shared" si="5"/>
        <v>18183.81245301103</v>
      </c>
      <c r="C40" s="3">
        <f t="shared" si="6"/>
        <v>21975.54409877183</v>
      </c>
      <c r="D40" s="3">
        <f t="shared" si="7"/>
        <v>25029.916070833107</v>
      </c>
      <c r="E40" s="3">
        <f t="shared" si="8"/>
        <v>27592.888858434733</v>
      </c>
      <c r="F40" s="3">
        <f t="shared" si="9"/>
        <v>29791.559032048186</v>
      </c>
      <c r="G40" s="3">
        <f t="shared" si="10"/>
        <v>31701.815729247905</v>
      </c>
      <c r="H40" s="3">
        <f t="shared" si="11"/>
        <v>33373.221427777484</v>
      </c>
      <c r="I40">
        <f t="shared" si="12"/>
        <v>99.5263164232568</v>
      </c>
    </row>
    <row r="46" spans="1:9" ht="12.75">
      <c r="A46" t="s">
        <v>6</v>
      </c>
      <c r="B46" t="s">
        <v>7</v>
      </c>
      <c r="C46" t="s">
        <v>8</v>
      </c>
      <c r="D46" t="s">
        <v>9</v>
      </c>
      <c r="E46" t="s">
        <v>10</v>
      </c>
      <c r="F46" t="s">
        <v>11</v>
      </c>
      <c r="G46" t="s">
        <v>12</v>
      </c>
      <c r="H46" t="s">
        <v>13</v>
      </c>
      <c r="I46" t="s">
        <v>16</v>
      </c>
    </row>
    <row r="47" spans="1:9" ht="12.75">
      <c r="A47">
        <v>0</v>
      </c>
      <c r="B47" s="1">
        <f>295*(52/100)*A47*SQRT((4*($B$5+($B$5-4))/(0.724*(273+23))))</f>
        <v>0</v>
      </c>
      <c r="C47" s="3">
        <f>295*(52/100)*A47*SQRT((6*($B$5+($B$5-6))/(0.724*(273+23))))</f>
        <v>0</v>
      </c>
      <c r="D47" s="3">
        <f>295*(52/100)*A47*SQRT((8*($B$5+($B$5-8))/(0.724*(273+23))))</f>
        <v>0</v>
      </c>
      <c r="E47" s="3">
        <f>295*(52/100)*A47*SQRT((10*($B$5+($B$5-10))/(0.724*(273+23))))</f>
        <v>0</v>
      </c>
      <c r="F47" s="3">
        <f>295*(52/100)*A47*SQRT((12*($B$5+($B$5-12))/(0.724*(273+23))))</f>
        <v>0</v>
      </c>
      <c r="G47" s="3">
        <f>295*(52/100)*A47*SQRT((14*($B$5+($B$5-14))/(0.724*(273+23))))</f>
        <v>0</v>
      </c>
      <c r="H47" s="3">
        <f>295*(52/100)*A47*SQRT((16*($B$5+($B$5-16))/(0.724*(273+23))))</f>
        <v>0</v>
      </c>
      <c r="I47">
        <f>EXP(A47/21.69)-1</f>
        <v>0</v>
      </c>
    </row>
    <row r="48" spans="1:9" ht="12.75">
      <c r="A48">
        <v>10</v>
      </c>
      <c r="B48" s="1">
        <f aca="true" t="shared" si="13" ref="B48:B57">295*(52/100)*A48*SQRT((4*($B$5+($B$5-4))/(0.724*(273+23))))</f>
        <v>1827.035612940853</v>
      </c>
      <c r="C48" s="3">
        <f aca="true" t="shared" si="14" ref="C48:C57">295*(52/100)*A48*SQRT((6*($B$5+($B$5-6))/(0.724*(273+23))))</f>
        <v>2208.01340675728</v>
      </c>
      <c r="D48" s="3">
        <f aca="true" t="shared" si="15" ref="D48:D57">295*(52/100)*A48*SQRT((8*($B$5+($B$5-8))/(0.724*(273+23))))</f>
        <v>2514.9042957028646</v>
      </c>
      <c r="E48" s="3">
        <f aca="true" t="shared" si="16" ref="E48:E57">295*(52/100)*A48*SQRT((10*($B$5+($B$5-10))/(0.724*(273+23))))</f>
        <v>2772.4213906490936</v>
      </c>
      <c r="F48" s="3">
        <f aca="true" t="shared" si="17" ref="F48:F57">295*(52/100)*A48*SQRT((12*($B$5+($B$5-12))/(0.724*(273+23))))</f>
        <v>2993.3348387328283</v>
      </c>
      <c r="G48" s="3">
        <f aca="true" t="shared" si="18" ref="G48:G57">295*(52/100)*A48*SQRT((14*($B$5+($B$5-14))/(0.724*(273+23))))</f>
        <v>3185.2696722371597</v>
      </c>
      <c r="H48" s="3">
        <f aca="true" t="shared" si="19" ref="H48:H57">295*(52/100)*A48*SQRT((16*($B$5+($B$5-16))/(0.724*(273+23))))</f>
        <v>3353.2057276038195</v>
      </c>
      <c r="I48">
        <f aca="true" t="shared" si="20" ref="I48:I57">EXP(A48/21.69)-1</f>
        <v>0.585725378704449</v>
      </c>
    </row>
    <row r="49" spans="1:9" ht="12.75">
      <c r="A49">
        <v>20</v>
      </c>
      <c r="B49" s="1">
        <f t="shared" si="13"/>
        <v>3654.071225881706</v>
      </c>
      <c r="C49" s="3">
        <f t="shared" si="14"/>
        <v>4416.02681351456</v>
      </c>
      <c r="D49" s="3">
        <f t="shared" si="15"/>
        <v>5029.808591405729</v>
      </c>
      <c r="E49" s="3">
        <f t="shared" si="16"/>
        <v>5544.842781298187</v>
      </c>
      <c r="F49" s="3">
        <f t="shared" si="17"/>
        <v>5986.669677465657</v>
      </c>
      <c r="G49" s="3">
        <f t="shared" si="18"/>
        <v>6370.5393444743195</v>
      </c>
      <c r="H49" s="3">
        <f t="shared" si="19"/>
        <v>6706.411455207639</v>
      </c>
      <c r="I49">
        <f t="shared" si="20"/>
        <v>1.514524976667368</v>
      </c>
    </row>
    <row r="50" spans="1:9" ht="12.75">
      <c r="A50">
        <v>30</v>
      </c>
      <c r="B50" s="1">
        <f t="shared" si="13"/>
        <v>5481.106838822559</v>
      </c>
      <c r="C50" s="3">
        <f t="shared" si="14"/>
        <v>6624.040220271841</v>
      </c>
      <c r="D50" s="3">
        <f t="shared" si="15"/>
        <v>7544.712887108593</v>
      </c>
      <c r="E50" s="3">
        <f t="shared" si="16"/>
        <v>8317.264171947281</v>
      </c>
      <c r="F50" s="3">
        <f t="shared" si="17"/>
        <v>8980.004516198485</v>
      </c>
      <c r="G50" s="3">
        <f t="shared" si="18"/>
        <v>9555.80901671148</v>
      </c>
      <c r="H50" s="3">
        <f t="shared" si="19"/>
        <v>10059.617182811458</v>
      </c>
      <c r="I50">
        <f t="shared" si="20"/>
        <v>2.987346070887658</v>
      </c>
    </row>
    <row r="51" spans="1:9" ht="12.75">
      <c r="A51">
        <v>40</v>
      </c>
      <c r="B51" s="1">
        <f t="shared" si="13"/>
        <v>7308.142451763412</v>
      </c>
      <c r="C51" s="3">
        <f t="shared" si="14"/>
        <v>8832.05362702912</v>
      </c>
      <c r="D51" s="3">
        <f t="shared" si="15"/>
        <v>10059.617182811458</v>
      </c>
      <c r="E51" s="3">
        <f t="shared" si="16"/>
        <v>11089.685562596374</v>
      </c>
      <c r="F51" s="3">
        <f t="shared" si="17"/>
        <v>11973.339354931313</v>
      </c>
      <c r="G51" s="3">
        <f t="shared" si="18"/>
        <v>12741.078688948639</v>
      </c>
      <c r="H51" s="3">
        <f t="shared" si="19"/>
        <v>13412.822910415278</v>
      </c>
      <c r="I51">
        <f t="shared" si="20"/>
        <v>5.322835858284027</v>
      </c>
    </row>
    <row r="52" spans="1:9" ht="12.75">
      <c r="A52">
        <v>50</v>
      </c>
      <c r="B52" s="1">
        <f t="shared" si="13"/>
        <v>9135.178064704265</v>
      </c>
      <c r="C52" s="3">
        <f t="shared" si="14"/>
        <v>11040.0670337864</v>
      </c>
      <c r="D52" s="3">
        <f t="shared" si="15"/>
        <v>12574.521478514323</v>
      </c>
      <c r="E52" s="3">
        <f t="shared" si="16"/>
        <v>13862.106953245468</v>
      </c>
      <c r="F52" s="3">
        <f t="shared" si="17"/>
        <v>14966.674193664143</v>
      </c>
      <c r="G52" s="3">
        <f t="shared" si="18"/>
        <v>15926.3483611858</v>
      </c>
      <c r="H52" s="3">
        <f t="shared" si="19"/>
        <v>16766.0286380191</v>
      </c>
      <c r="I52">
        <f t="shared" si="20"/>
        <v>9.026281285863508</v>
      </c>
    </row>
    <row r="53" spans="1:9" ht="12.75">
      <c r="A53">
        <v>60</v>
      </c>
      <c r="B53" s="1">
        <f t="shared" si="13"/>
        <v>10962.213677645119</v>
      </c>
      <c r="C53" s="3">
        <f t="shared" si="14"/>
        <v>13248.080440543681</v>
      </c>
      <c r="D53" s="3">
        <f t="shared" si="15"/>
        <v>15089.425774217187</v>
      </c>
      <c r="E53" s="3">
        <f t="shared" si="16"/>
        <v>16634.528343894563</v>
      </c>
      <c r="F53" s="3">
        <f t="shared" si="17"/>
        <v>17960.00903239697</v>
      </c>
      <c r="G53" s="3">
        <f t="shared" si="18"/>
        <v>19111.61803342296</v>
      </c>
      <c r="H53" s="3">
        <f t="shared" si="19"/>
        <v>20119.234365622917</v>
      </c>
      <c r="I53">
        <f t="shared" si="20"/>
        <v>14.898928689023244</v>
      </c>
    </row>
    <row r="54" spans="1:9" ht="12.75">
      <c r="A54">
        <v>70</v>
      </c>
      <c r="B54" s="1">
        <f t="shared" si="13"/>
        <v>12789.24929058597</v>
      </c>
      <c r="C54" s="3">
        <f t="shared" si="14"/>
        <v>15456.093847300961</v>
      </c>
      <c r="D54" s="3">
        <f t="shared" si="15"/>
        <v>17604.33006992005</v>
      </c>
      <c r="E54" s="3">
        <f t="shared" si="16"/>
        <v>19406.949734543654</v>
      </c>
      <c r="F54" s="3">
        <f t="shared" si="17"/>
        <v>20953.3438711298</v>
      </c>
      <c r="G54" s="3">
        <f t="shared" si="18"/>
        <v>22296.88770566012</v>
      </c>
      <c r="H54" s="3">
        <f t="shared" si="19"/>
        <v>23472.440093226738</v>
      </c>
      <c r="I54">
        <f t="shared" si="20"/>
        <v>24.211334716396404</v>
      </c>
    </row>
    <row r="55" spans="1:9" ht="12.75">
      <c r="A55">
        <v>80</v>
      </c>
      <c r="B55" s="1">
        <f t="shared" si="13"/>
        <v>14616.284903526825</v>
      </c>
      <c r="C55" s="3">
        <f t="shared" si="14"/>
        <v>17664.10725405824</v>
      </c>
      <c r="D55" s="3">
        <f t="shared" si="15"/>
        <v>20119.234365622917</v>
      </c>
      <c r="E55" s="3">
        <f t="shared" si="16"/>
        <v>22179.37112519275</v>
      </c>
      <c r="F55" s="3">
        <f t="shared" si="17"/>
        <v>23946.678709862626</v>
      </c>
      <c r="G55" s="3">
        <f t="shared" si="18"/>
        <v>25482.157377897278</v>
      </c>
      <c r="H55" s="3">
        <f t="shared" si="19"/>
        <v>26825.645820830556</v>
      </c>
      <c r="I55">
        <f t="shared" si="20"/>
        <v>38.978253290802314</v>
      </c>
    </row>
    <row r="56" spans="1:9" ht="12.75">
      <c r="A56">
        <v>90</v>
      </c>
      <c r="B56" s="1">
        <f t="shared" si="13"/>
        <v>16443.320516467676</v>
      </c>
      <c r="C56" s="3">
        <f t="shared" si="14"/>
        <v>19872.12066081552</v>
      </c>
      <c r="D56" s="3">
        <f t="shared" si="15"/>
        <v>22634.138661325782</v>
      </c>
      <c r="E56" s="3">
        <f t="shared" si="16"/>
        <v>24951.792515841844</v>
      </c>
      <c r="F56" s="3">
        <f t="shared" si="17"/>
        <v>26940.013548595456</v>
      </c>
      <c r="G56" s="3">
        <f t="shared" si="18"/>
        <v>28667.42705013444</v>
      </c>
      <c r="H56" s="3">
        <f t="shared" si="19"/>
        <v>30178.851548434377</v>
      </c>
      <c r="I56">
        <f t="shared" si="20"/>
        <v>62.394530839499865</v>
      </c>
    </row>
    <row r="57" spans="1:9" ht="12.75">
      <c r="A57">
        <v>100</v>
      </c>
      <c r="B57" s="1">
        <f t="shared" si="13"/>
        <v>18270.35612940853</v>
      </c>
      <c r="C57" s="3">
        <f t="shared" si="14"/>
        <v>22080.1340675728</v>
      </c>
      <c r="D57" s="3">
        <f t="shared" si="15"/>
        <v>25149.042957028647</v>
      </c>
      <c r="E57" s="3">
        <f t="shared" si="16"/>
        <v>27724.213906490935</v>
      </c>
      <c r="F57" s="3">
        <f t="shared" si="17"/>
        <v>29933.348387328286</v>
      </c>
      <c r="G57" s="3">
        <f t="shared" si="18"/>
        <v>31852.6967223716</v>
      </c>
      <c r="H57" s="3">
        <f t="shared" si="19"/>
        <v>33532.0572760382</v>
      </c>
      <c r="I57">
        <f t="shared" si="20"/>
        <v>99.5263164232568</v>
      </c>
    </row>
    <row r="60" spans="1:8" ht="12.75">
      <c r="A60" t="s">
        <v>6</v>
      </c>
      <c r="B60" t="s">
        <v>7</v>
      </c>
      <c r="C60" t="s">
        <v>8</v>
      </c>
      <c r="D60" t="s">
        <v>9</v>
      </c>
      <c r="E60" t="s">
        <v>10</v>
      </c>
      <c r="F60" t="s">
        <v>11</v>
      </c>
      <c r="G60" t="s">
        <v>12</v>
      </c>
      <c r="H60" t="s">
        <v>13</v>
      </c>
    </row>
    <row r="61" spans="1:8" ht="12.75">
      <c r="A61">
        <v>0</v>
      </c>
      <c r="B61" s="1">
        <f>295*(52/100)*A61*SQRT((4*($B$6+($B$6+4))/(0.724*(273+23))))</f>
        <v>0</v>
      </c>
      <c r="C61" s="3">
        <f>295*(52/100)*A61*SQRT((6*($B$6+($B$6+6))/(0.724*(273+23))))</f>
        <v>0</v>
      </c>
      <c r="D61" s="3">
        <f>295*(52/100)*A61*SQRT((8*($B$6+($B$6+8))/(0.724*(273+23))))</f>
        <v>0</v>
      </c>
      <c r="E61" s="3">
        <f>295*(52/100)*A61*SQRT((10*($B$6+($B$6+10))/(0.724*(273+23))))</f>
        <v>0</v>
      </c>
      <c r="F61" s="3">
        <f>295*(52/100)*A61*SQRT((12*($B$6+($B$6+12))/(0.724*(273+23))))</f>
        <v>0</v>
      </c>
      <c r="G61" s="3">
        <f>295*(52/100)*A61*SQRT((14*($B$6+($B$6+14))/(0.724*(273+23))))</f>
        <v>0</v>
      </c>
      <c r="H61" s="3">
        <f>295*(52/100)*A61*SQRT((16*($B$6+($B$6+16))/(0.724*(273+23))))</f>
        <v>0</v>
      </c>
    </row>
    <row r="62" spans="1:8" ht="12.75">
      <c r="A62">
        <v>10</v>
      </c>
      <c r="B62" s="1">
        <f aca="true" t="shared" si="21" ref="B62:B71">295*(52/100)*A62*SQRT((4*($B$6+($B$6+4))/(0.724*(273+23))))</f>
        <v>1421.4092341196726</v>
      </c>
      <c r="C62" s="3">
        <f aca="true" t="shared" si="22" ref="C62:C71">295*(52/100)*A62*SQRT((6*($B$6+($B$6+6))/(0.724*(273+23))))</f>
        <v>1778.3058815266738</v>
      </c>
      <c r="D62" s="3">
        <f aca="true" t="shared" si="23" ref="D62:D71">295*(52/100)*A62*SQRT((8*($B$6+($B$6+8))/(0.724*(273+23))))</f>
        <v>2095.753579752387</v>
      </c>
      <c r="E62" s="3">
        <f aca="true" t="shared" si="24" ref="E62:E71">295*(52/100)*A62*SQRT((10*($B$6+($B$6+10))/(0.724*(273+23))))</f>
        <v>2389.5267286972185</v>
      </c>
      <c r="F62" s="3">
        <f aca="true" t="shared" si="25" ref="F62:F71">295*(52/100)*A62*SQRT((12*($B$6+($B$6+12))/(0.724*(273+23))))</f>
        <v>2667.4588222900106</v>
      </c>
      <c r="G62" s="3">
        <f aca="true" t="shared" si="26" ref="G62:G71">295*(52/100)*A62*SQRT((14*($B$6+($B$6+14))/(0.724*(273+23))))</f>
        <v>2934.0550116533423</v>
      </c>
      <c r="H62" s="3">
        <f aca="true" t="shared" si="27" ref="H62:H71">295*(52/100)*A62*SQRT((16*($B$6+($B$6+16))/(0.724*(273+23))))</f>
        <v>3192.1567498392483</v>
      </c>
    </row>
    <row r="63" spans="1:8" ht="12.75">
      <c r="A63">
        <v>20</v>
      </c>
      <c r="B63" s="1">
        <f t="shared" si="21"/>
        <v>2842.8184682393453</v>
      </c>
      <c r="C63" s="3">
        <f t="shared" si="22"/>
        <v>3556.6117630533477</v>
      </c>
      <c r="D63" s="3">
        <f t="shared" si="23"/>
        <v>4191.507159504774</v>
      </c>
      <c r="E63" s="3">
        <f t="shared" si="24"/>
        <v>4779.053457394437</v>
      </c>
      <c r="F63" s="3">
        <f t="shared" si="25"/>
        <v>5334.917644580021</v>
      </c>
      <c r="G63" s="3">
        <f t="shared" si="26"/>
        <v>5868.1100233066845</v>
      </c>
      <c r="H63" s="3">
        <f t="shared" si="27"/>
        <v>6384.313499678497</v>
      </c>
    </row>
    <row r="64" spans="1:8" ht="12.75">
      <c r="A64">
        <v>30</v>
      </c>
      <c r="B64" s="1">
        <f t="shared" si="21"/>
        <v>4264.227702359018</v>
      </c>
      <c r="C64" s="3">
        <f t="shared" si="22"/>
        <v>5334.917644580021</v>
      </c>
      <c r="D64" s="3">
        <f t="shared" si="23"/>
        <v>6287.260739257162</v>
      </c>
      <c r="E64" s="3">
        <f t="shared" si="24"/>
        <v>7168.5801860916545</v>
      </c>
      <c r="F64" s="3">
        <f t="shared" si="25"/>
        <v>8002.376466870032</v>
      </c>
      <c r="G64" s="3">
        <f t="shared" si="26"/>
        <v>8802.165034960026</v>
      </c>
      <c r="H64" s="3">
        <f t="shared" si="27"/>
        <v>9576.470249517744</v>
      </c>
    </row>
    <row r="65" spans="1:8" ht="12.75">
      <c r="A65">
        <v>40</v>
      </c>
      <c r="B65" s="1">
        <f t="shared" si="21"/>
        <v>5685.636936478691</v>
      </c>
      <c r="C65" s="3">
        <f t="shared" si="22"/>
        <v>7113.223526106695</v>
      </c>
      <c r="D65" s="3">
        <f t="shared" si="23"/>
        <v>8383.014319009548</v>
      </c>
      <c r="E65" s="3">
        <f t="shared" si="24"/>
        <v>9558.106914788874</v>
      </c>
      <c r="F65" s="3">
        <f t="shared" si="25"/>
        <v>10669.835289160043</v>
      </c>
      <c r="G65" s="3">
        <f t="shared" si="26"/>
        <v>11736.220046613369</v>
      </c>
      <c r="H65" s="3">
        <f t="shared" si="27"/>
        <v>12768.626999356993</v>
      </c>
    </row>
    <row r="66" spans="1:8" ht="12.75">
      <c r="A66">
        <v>50</v>
      </c>
      <c r="B66" s="1">
        <f t="shared" si="21"/>
        <v>7107.0461705983635</v>
      </c>
      <c r="C66" s="3">
        <f t="shared" si="22"/>
        <v>8891.529407633368</v>
      </c>
      <c r="D66" s="3">
        <f t="shared" si="23"/>
        <v>10478.767898761937</v>
      </c>
      <c r="E66" s="3">
        <f t="shared" si="24"/>
        <v>11947.633643486091</v>
      </c>
      <c r="F66" s="3">
        <f t="shared" si="25"/>
        <v>13337.294111450054</v>
      </c>
      <c r="G66" s="3">
        <f t="shared" si="26"/>
        <v>14670.27505826671</v>
      </c>
      <c r="H66" s="3">
        <f t="shared" si="27"/>
        <v>15960.783749196242</v>
      </c>
    </row>
    <row r="67" spans="1:8" ht="12.75">
      <c r="A67">
        <v>60</v>
      </c>
      <c r="B67" s="1">
        <f t="shared" si="21"/>
        <v>8528.455404718035</v>
      </c>
      <c r="C67" s="3">
        <f t="shared" si="22"/>
        <v>10669.835289160043</v>
      </c>
      <c r="D67" s="3">
        <f t="shared" si="23"/>
        <v>12574.521478514323</v>
      </c>
      <c r="E67" s="3">
        <f t="shared" si="24"/>
        <v>14337.160372183309</v>
      </c>
      <c r="F67" s="3">
        <f t="shared" si="25"/>
        <v>16004.752933740065</v>
      </c>
      <c r="G67" s="3">
        <f t="shared" si="26"/>
        <v>17604.33006992005</v>
      </c>
      <c r="H67" s="3">
        <f t="shared" si="27"/>
        <v>19152.94049903549</v>
      </c>
    </row>
    <row r="68" spans="1:8" ht="12.75">
      <c r="A68">
        <v>70</v>
      </c>
      <c r="B68" s="1">
        <f t="shared" si="21"/>
        <v>9949.86463883771</v>
      </c>
      <c r="C68" s="3">
        <f t="shared" si="22"/>
        <v>12448.141170686717</v>
      </c>
      <c r="D68" s="3">
        <f t="shared" si="23"/>
        <v>14670.27505826671</v>
      </c>
      <c r="E68" s="3">
        <f t="shared" si="24"/>
        <v>16726.68710088053</v>
      </c>
      <c r="F68" s="3">
        <f t="shared" si="25"/>
        <v>18672.211756030076</v>
      </c>
      <c r="G68" s="3">
        <f t="shared" si="26"/>
        <v>20538.385081573397</v>
      </c>
      <c r="H68" s="3">
        <f t="shared" si="27"/>
        <v>22345.097248874736</v>
      </c>
    </row>
    <row r="69" spans="1:8" ht="12.75">
      <c r="A69">
        <v>80</v>
      </c>
      <c r="B69" s="1">
        <f t="shared" si="21"/>
        <v>11371.273872957381</v>
      </c>
      <c r="C69" s="3">
        <f t="shared" si="22"/>
        <v>14226.44705221339</v>
      </c>
      <c r="D69" s="3">
        <f t="shared" si="23"/>
        <v>16766.028638019096</v>
      </c>
      <c r="E69" s="3">
        <f t="shared" si="24"/>
        <v>19116.213829577748</v>
      </c>
      <c r="F69" s="3">
        <f t="shared" si="25"/>
        <v>21339.670578320085</v>
      </c>
      <c r="G69" s="3">
        <f t="shared" si="26"/>
        <v>23472.440093226738</v>
      </c>
      <c r="H69" s="3">
        <f t="shared" si="27"/>
        <v>25537.253998713986</v>
      </c>
    </row>
    <row r="70" spans="1:8" ht="12.75">
      <c r="A70">
        <v>90</v>
      </c>
      <c r="B70" s="1">
        <f t="shared" si="21"/>
        <v>12792.683107077055</v>
      </c>
      <c r="C70" s="3">
        <f t="shared" si="22"/>
        <v>16004.752933740065</v>
      </c>
      <c r="D70" s="3">
        <f t="shared" si="23"/>
        <v>18861.782217771484</v>
      </c>
      <c r="E70" s="3">
        <f t="shared" si="24"/>
        <v>21505.740558274963</v>
      </c>
      <c r="F70" s="3">
        <f t="shared" si="25"/>
        <v>24007.129400610098</v>
      </c>
      <c r="G70" s="3">
        <f t="shared" si="26"/>
        <v>26406.49510488008</v>
      </c>
      <c r="H70" s="3">
        <f t="shared" si="27"/>
        <v>28729.410748553233</v>
      </c>
    </row>
    <row r="71" spans="1:8" ht="12.75">
      <c r="A71">
        <v>100</v>
      </c>
      <c r="B71" s="1">
        <f t="shared" si="21"/>
        <v>14214.092341196727</v>
      </c>
      <c r="C71" s="3">
        <f t="shared" si="22"/>
        <v>17783.058815266737</v>
      </c>
      <c r="D71" s="3">
        <f t="shared" si="23"/>
        <v>20957.535797523873</v>
      </c>
      <c r="E71" s="3">
        <f t="shared" si="24"/>
        <v>23895.267286972183</v>
      </c>
      <c r="F71" s="3">
        <f t="shared" si="25"/>
        <v>26674.588222900107</v>
      </c>
      <c r="G71" s="3">
        <f t="shared" si="26"/>
        <v>29340.55011653342</v>
      </c>
      <c r="H71" s="3">
        <f t="shared" si="27"/>
        <v>31921.567498392484</v>
      </c>
    </row>
    <row r="80" spans="1:9" ht="12.75">
      <c r="A80" t="s">
        <v>6</v>
      </c>
      <c r="B80" t="s">
        <v>7</v>
      </c>
      <c r="C80" t="s">
        <v>8</v>
      </c>
      <c r="D80" t="s">
        <v>9</v>
      </c>
      <c r="E80" t="s">
        <v>10</v>
      </c>
      <c r="F80" t="s">
        <v>11</v>
      </c>
      <c r="G80" t="s">
        <v>12</v>
      </c>
      <c r="H80" t="s">
        <v>13</v>
      </c>
      <c r="I80" t="s">
        <v>16</v>
      </c>
    </row>
    <row r="81" spans="1:9" ht="12.75">
      <c r="A81">
        <v>0</v>
      </c>
      <c r="B81" s="1">
        <f>295*(52/100)*(EXP(A81/21.69)-1)*SQRT((4*($B$6+($B$6+4))/(0.724*(273+23))))</f>
        <v>0</v>
      </c>
      <c r="C81" s="3">
        <f>295*(52/100)*(EXP(A81/21.69)-1)*SQRT((6*($B$6+($B$6+6))/(0.724*(273+23))))</f>
        <v>0</v>
      </c>
      <c r="D81" s="3">
        <f>295*(52/100)*(EXP(A81/21.69)-1)*SQRT((8*($B$6+($B$6+8))/(0.724*(273+23))))</f>
        <v>0</v>
      </c>
      <c r="E81" s="3">
        <f>295*(52/100)*(EXP(A81/21.69)-1)*SQRT((10*($B$6+($B$6+10))/(0.724*(273+23))))</f>
        <v>0</v>
      </c>
      <c r="F81" s="3">
        <f>295*(52/100)*(EXP(A81/21.69)-1)*SQRT((12*($B$6+($B$6+12))/(0.724*(273+23))))</f>
        <v>0</v>
      </c>
      <c r="G81" s="3">
        <f>295*(52/100)*(EXP(A81/21.69)-1)*SQRT((14*($B$5+($B$6+14))/(0.724*(273+23))))</f>
        <v>0</v>
      </c>
      <c r="H81" s="3">
        <f>295*(52/100)*(EXP(A81/21.69)-1)*SQRT((16*($B$6+($B$6+16))/(0.724*(273+23))))</f>
        <v>0</v>
      </c>
      <c r="I81">
        <f>EXP(A81/21.69)-1</f>
        <v>0</v>
      </c>
    </row>
    <row r="82" spans="1:9" ht="12.75">
      <c r="A82">
        <v>10</v>
      </c>
      <c r="B82" s="1">
        <f aca="true" t="shared" si="28" ref="B82:B91">295*(52/100)*(EXP(A82/21.69)-1)*SQRT((4*($B$6+($B$6+4))/(0.724*(273+23))))</f>
        <v>83.25554619487461</v>
      </c>
      <c r="C82" s="3">
        <f aca="true" t="shared" si="29" ref="C82:C91">295*(52/100)*(EXP(A82/21.69)-1)*SQRT((6*($B$6+($B$6+6))/(0.724*(273+23))))</f>
        <v>104.159888590956</v>
      </c>
      <c r="D82" s="3">
        <f aca="true" t="shared" si="30" ref="D82:D91">295*(52/100)*(EXP(A82/21.69)-1)*SQRT((8*($B$6+($B$6+8))/(0.724*(273+23))))</f>
        <v>122.75360591716716</v>
      </c>
      <c r="E82" s="3">
        <f aca="true" t="shared" si="31" ref="E82:E91">295*(52/100)*(EXP(A82/21.69)-1)*SQRT((10*($B$6+($B$6+10))/(0.724*(273+23))))</f>
        <v>139.96064480905812</v>
      </c>
      <c r="F82" s="3">
        <f aca="true" t="shared" si="32" ref="F82:F91">295*(52/100)*(EXP(A82/21.69)-1)*SQRT((12*($B$6+($B$6+12))/(0.724*(273+23))))</f>
        <v>156.23983288643402</v>
      </c>
      <c r="G82" s="3">
        <f aca="true" t="shared" si="33" ref="G82:G91">295*(52/100)*(EXP(A82/21.69)-1)*SQRT((14*($B$5+($B$6+14))/(0.724*(273+23))))</f>
        <v>198.88357243592625</v>
      </c>
      <c r="H82" s="3">
        <f aca="true" t="shared" si="34" ref="H82:H91">295*(52/100)*(EXP(A82/21.69)-1)*SQRT((16*($B$6+($B$6+16))/(0.724*(273+23))))</f>
        <v>186.97272211835568</v>
      </c>
      <c r="I82">
        <f aca="true" t="shared" si="35" ref="I82:I91">EXP(A82/21.69)-1</f>
        <v>0.585725378704449</v>
      </c>
    </row>
    <row r="83" spans="1:9" ht="12.75">
      <c r="A83">
        <v>20</v>
      </c>
      <c r="B83" s="1">
        <f t="shared" si="28"/>
        <v>215.27597871398788</v>
      </c>
      <c r="C83" s="3">
        <f t="shared" si="29"/>
        <v>269.3288673726629</v>
      </c>
      <c r="D83" s="3">
        <f t="shared" si="30"/>
        <v>317.40711414750376</v>
      </c>
      <c r="E83" s="3">
        <f t="shared" si="31"/>
        <v>361.8997913026207</v>
      </c>
      <c r="F83" s="3">
        <f t="shared" si="32"/>
        <v>403.9933010589944</v>
      </c>
      <c r="G83" s="3">
        <f t="shared" si="33"/>
        <v>514.2583006549792</v>
      </c>
      <c r="H83" s="3">
        <f t="shared" si="34"/>
        <v>483.4601127068869</v>
      </c>
      <c r="I83">
        <f t="shared" si="35"/>
        <v>1.514524976667368</v>
      </c>
    </row>
    <row r="84" spans="1:9" ht="12.75">
      <c r="A84">
        <v>30</v>
      </c>
      <c r="B84" s="1">
        <f t="shared" si="28"/>
        <v>424.62412906708397</v>
      </c>
      <c r="C84" s="3">
        <f t="shared" si="29"/>
        <v>531.2415088015122</v>
      </c>
      <c r="D84" s="3">
        <f t="shared" si="30"/>
        <v>626.0741222022037</v>
      </c>
      <c r="E84" s="3">
        <f t="shared" si="31"/>
        <v>713.8343284254673</v>
      </c>
      <c r="F84" s="3">
        <f t="shared" si="32"/>
        <v>796.8622632022683</v>
      </c>
      <c r="G84" s="3">
        <f t="shared" si="33"/>
        <v>1014.3560109939494</v>
      </c>
      <c r="H84" s="3">
        <f t="shared" si="34"/>
        <v>953.6076924289795</v>
      </c>
      <c r="I84">
        <f t="shared" si="35"/>
        <v>2.987346070887658</v>
      </c>
    </row>
    <row r="85" spans="1:9" ht="12.75">
      <c r="A85">
        <v>40</v>
      </c>
      <c r="B85" s="1">
        <f t="shared" si="28"/>
        <v>756.5928040668231</v>
      </c>
      <c r="C85" s="3">
        <f t="shared" si="29"/>
        <v>946.5630313187567</v>
      </c>
      <c r="D85" s="3">
        <f t="shared" si="30"/>
        <v>1115.535230443312</v>
      </c>
      <c r="E85" s="3">
        <f t="shared" si="31"/>
        <v>1271.9058555837682</v>
      </c>
      <c r="F85" s="3">
        <f t="shared" si="32"/>
        <v>1419.844546978135</v>
      </c>
      <c r="G85" s="3">
        <f t="shared" si="33"/>
        <v>1807.3736421104406</v>
      </c>
      <c r="H85" s="3">
        <f t="shared" si="34"/>
        <v>1699.1326413307747</v>
      </c>
      <c r="I85">
        <f t="shared" si="35"/>
        <v>5.322835858284027</v>
      </c>
    </row>
    <row r="86" spans="1:9" ht="12.75">
      <c r="A86">
        <v>50</v>
      </c>
      <c r="B86" s="1">
        <f t="shared" si="28"/>
        <v>1283.0039569487985</v>
      </c>
      <c r="C86" s="3">
        <f t="shared" si="29"/>
        <v>1605.1489098965226</v>
      </c>
      <c r="D86" s="3">
        <f t="shared" si="30"/>
        <v>1891.6861316700429</v>
      </c>
      <c r="E86" s="3">
        <f t="shared" si="31"/>
        <v>2156.854039331035</v>
      </c>
      <c r="F86" s="3">
        <f t="shared" si="32"/>
        <v>2407.723364844784</v>
      </c>
      <c r="G86" s="3">
        <f t="shared" si="33"/>
        <v>3064.881825531944</v>
      </c>
      <c r="H86" s="3">
        <f t="shared" si="34"/>
        <v>2881.330473261689</v>
      </c>
      <c r="I86">
        <f t="shared" si="35"/>
        <v>9.026281285863508</v>
      </c>
    </row>
    <row r="87" spans="1:9" ht="12.75">
      <c r="A87">
        <v>60</v>
      </c>
      <c r="B87" s="1">
        <f t="shared" si="28"/>
        <v>2117.747481706815</v>
      </c>
      <c r="C87" s="3">
        <f t="shared" si="29"/>
        <v>2649.485251613653</v>
      </c>
      <c r="D87" s="3">
        <f t="shared" si="30"/>
        <v>3122.4483134496004</v>
      </c>
      <c r="E87" s="3">
        <f t="shared" si="31"/>
        <v>3560.1388331374847</v>
      </c>
      <c r="F87" s="3">
        <f t="shared" si="32"/>
        <v>3974.2278774204797</v>
      </c>
      <c r="G87" s="3">
        <f t="shared" si="33"/>
        <v>5058.944465911952</v>
      </c>
      <c r="H87" s="3">
        <f t="shared" si="34"/>
        <v>4755.971578003917</v>
      </c>
      <c r="I87">
        <f t="shared" si="35"/>
        <v>14.898928689023244</v>
      </c>
    </row>
    <row r="88" spans="1:9" ht="12.75">
      <c r="A88">
        <v>70</v>
      </c>
      <c r="B88" s="1">
        <f t="shared" si="28"/>
        <v>3441.4214736248055</v>
      </c>
      <c r="C88" s="3">
        <f t="shared" si="29"/>
        <v>4305.515892577867</v>
      </c>
      <c r="D88" s="3">
        <f t="shared" si="30"/>
        <v>5074.099140247101</v>
      </c>
      <c r="E88" s="3">
        <f t="shared" si="31"/>
        <v>5785.3631442264095</v>
      </c>
      <c r="F88" s="3">
        <f t="shared" si="32"/>
        <v>6458.2738388668</v>
      </c>
      <c r="G88" s="3">
        <f t="shared" si="33"/>
        <v>8220.98020148893</v>
      </c>
      <c r="H88" s="3">
        <f t="shared" si="34"/>
        <v>7728.63755375621</v>
      </c>
      <c r="I88">
        <f t="shared" si="35"/>
        <v>24.211334716396404</v>
      </c>
    </row>
    <row r="89" spans="1:9" ht="12.75">
      <c r="A89">
        <v>80</v>
      </c>
      <c r="B89" s="1">
        <f t="shared" si="28"/>
        <v>5540.404915740193</v>
      </c>
      <c r="C89" s="3">
        <f t="shared" si="29"/>
        <v>6931.525707867018</v>
      </c>
      <c r="D89" s="3">
        <f t="shared" si="30"/>
        <v>8168.881386669422</v>
      </c>
      <c r="E89" s="3">
        <f t="shared" si="31"/>
        <v>9313.957807630244</v>
      </c>
      <c r="F89" s="3">
        <f t="shared" si="32"/>
        <v>10397.288561800528</v>
      </c>
      <c r="G89" s="3">
        <f t="shared" si="33"/>
        <v>13235.100515763737</v>
      </c>
      <c r="H89" s="3">
        <f t="shared" si="34"/>
        <v>12442.46943391785</v>
      </c>
      <c r="I89">
        <f t="shared" si="35"/>
        <v>38.978253290802314</v>
      </c>
    </row>
    <row r="90" spans="1:9" ht="12.75">
      <c r="A90">
        <v>90</v>
      </c>
      <c r="B90" s="1">
        <f t="shared" si="28"/>
        <v>8868.816229382981</v>
      </c>
      <c r="C90" s="3">
        <f t="shared" si="29"/>
        <v>11095.656116698005</v>
      </c>
      <c r="D90" s="3">
        <f t="shared" si="30"/>
        <v>13076.356136385257</v>
      </c>
      <c r="E90" s="3">
        <f t="shared" si="31"/>
        <v>14909.339916550782</v>
      </c>
      <c r="F90" s="3">
        <f t="shared" si="32"/>
        <v>16643.484175047008</v>
      </c>
      <c r="G90" s="3">
        <f t="shared" si="33"/>
        <v>21186.11834998682</v>
      </c>
      <c r="H90" s="3">
        <f t="shared" si="34"/>
        <v>19917.312277236262</v>
      </c>
      <c r="I90">
        <f t="shared" si="35"/>
        <v>62.394530839499865</v>
      </c>
    </row>
    <row r="91" spans="1:9" ht="12.75">
      <c r="A91">
        <v>100</v>
      </c>
      <c r="B91" s="1">
        <f t="shared" si="28"/>
        <v>14146.762520193366</v>
      </c>
      <c r="C91" s="3">
        <f t="shared" si="29"/>
        <v>17698.823386216234</v>
      </c>
      <c r="D91" s="3">
        <f t="shared" si="30"/>
        <v>20858.263392360925</v>
      </c>
      <c r="E91" s="3">
        <f t="shared" si="31"/>
        <v>23782.079330214907</v>
      </c>
      <c r="F91" s="3">
        <f t="shared" si="32"/>
        <v>26548.235079324353</v>
      </c>
      <c r="G91" s="3">
        <f t="shared" si="33"/>
        <v>33794.24911624606</v>
      </c>
      <c r="H91" s="3">
        <f t="shared" si="34"/>
        <v>31770.360275713603</v>
      </c>
      <c r="I91">
        <f t="shared" si="35"/>
        <v>99.5263164232568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FEUILLENT Michel</dc:creator>
  <cp:keywords/>
  <dc:description/>
  <cp:lastModifiedBy>FEUILLENT Michel</cp:lastModifiedBy>
  <dcterms:created xsi:type="dcterms:W3CDTF">2008-12-05T09:47:40Z</dcterms:created>
  <dcterms:modified xsi:type="dcterms:W3CDTF">2008-12-06T08:53:20Z</dcterms:modified>
  <cp:category/>
  <cp:version/>
  <cp:contentType/>
  <cp:contentStatus/>
</cp:coreProperties>
</file>