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315" activeTab="1"/>
  </bookViews>
  <sheets>
    <sheet name="Feuil1" sheetId="1" r:id="rId1"/>
    <sheet name="Cuve horizontal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<sst xmlns="http://schemas.openxmlformats.org/spreadsheetml/2006/main" count="60" uniqueCount="41">
  <si>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h</t>
  </si>
  <si>
    <t>j</t>
  </si>
  <si>
    <t>arctg h</t>
  </si>
  <si>
    <t>Y</t>
  </si>
  <si>
    <t>X</t>
  </si>
  <si>
    <t>R*arctg(h/R)</t>
  </si>
  <si>
    <t>j*0.785</t>
  </si>
  <si>
    <t>FONDS BOMBES</t>
  </si>
  <si>
    <t>u</t>
  </si>
  <si>
    <t>V'</t>
  </si>
  <si>
    <t>lin</t>
  </si>
  <si>
    <t>volume en m3</t>
  </si>
  <si>
    <t>hauteur en m</t>
  </si>
  <si>
    <t>Signal d'entrée du générateur de fonction</t>
  </si>
  <si>
    <t>SPHERE         Rs</t>
  </si>
  <si>
    <t>FONDS BOMBES Rfb</t>
  </si>
  <si>
    <t>ELLIPTIQUE Re</t>
  </si>
  <si>
    <t>CYLINDRIQUE Rc</t>
  </si>
  <si>
    <t>xq</t>
  </si>
  <si>
    <t>CUVE CYLINDRIQUE HORIZONTALE</t>
  </si>
  <si>
    <t>Longueur l</t>
  </si>
  <si>
    <t>Fléche f</t>
  </si>
  <si>
    <t>Hauteur h</t>
  </si>
  <si>
    <t>Volume fonds bombes</t>
  </si>
  <si>
    <t>Volume cylindre</t>
  </si>
  <si>
    <t>Volume  total</t>
  </si>
  <si>
    <t>Diamètre D</t>
  </si>
  <si>
    <t>mètre</t>
  </si>
  <si>
    <t>Volume de la partie cylindrique en m3</t>
  </si>
  <si>
    <t>Volume total en m3</t>
  </si>
  <si>
    <t>Volume des fonds bombé en m3</t>
  </si>
  <si>
    <t>RESEVOIR HORIZONTAL A SECTION ELLIPTIQUE ET A FONDS BOMBES</t>
  </si>
  <si>
    <t>Volume de la partie elliptique en m3</t>
  </si>
  <si>
    <t>Volume elliptique</t>
  </si>
  <si>
    <t>2a</t>
  </si>
  <si>
    <t>2b</t>
  </si>
  <si>
    <t>SPHERE</t>
  </si>
  <si>
    <t>Volume de la sphére</t>
  </si>
  <si>
    <t>Volume sphére</t>
  </si>
  <si>
    <t>R</t>
  </si>
  <si>
    <t>Rapport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</si>
</sst>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&quot;Vrai&quot;;&quot;Vrai&quot;;&quot;Faux&quot;"/>
    <numFmt numFmtId="170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0.25"/>
      <color indexed="8"/>
      <name val="Arial"/>
      <family val="0"/>
    </font>
    <font>
      <sz val="9.25"/>
      <color indexed="8"/>
      <name val="Arial"/>
      <family val="0"/>
    </font>
    <font>
      <sz val="9.4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b/>
      <u val="double"/>
      <sz val="8"/>
      <color indexed="8"/>
      <name val="Arial"/>
      <family val="0"/>
    </font>
    <font>
      <b/>
      <sz val="10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4" xfId="0" applyNumberFormat="1" applyBorder="1" applyAlignment="1">
      <alignment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5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5" fontId="0" fillId="34" borderId="0" xfId="0" applyNumberForma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4"/>
          <c:w val="0.79875"/>
          <c:h val="0.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Feuil1!$C$9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Feuil1!$B$10:$B$20</c:f>
              <c:numCache/>
            </c:numRef>
          </c:xVal>
          <c:yVal>
            <c:numRef>
              <c:f>Feuil1!$C$10:$C$20</c:f>
              <c:numCache/>
            </c:numRef>
          </c:yVal>
          <c:smooth val="1"/>
        </c:ser>
        <c:ser>
          <c:idx val="1"/>
          <c:order val="1"/>
          <c:tx>
            <c:strRef>
              <c:f>Feuil1!$D$9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Feuil1!$B$10:$B$20</c:f>
              <c:numCache/>
            </c:numRef>
          </c:xVal>
          <c:yVal>
            <c:numRef>
              <c:f>Feuil1!$D$10:$D$20</c:f>
              <c:numCache/>
            </c:numRef>
          </c:yVal>
          <c:smooth val="1"/>
        </c:ser>
        <c:ser>
          <c:idx val="2"/>
          <c:order val="2"/>
          <c:tx>
            <c:strRef>
              <c:f>Feuil1!$E$9</c:f>
              <c:strCache>
                <c:ptCount val="1"/>
                <c:pt idx="0">
                  <c:v>arctg 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Feuil1!$B$10:$B$20</c:f>
              <c:numCache/>
            </c:numRef>
          </c:xVal>
          <c:yVal>
            <c:numRef>
              <c:f>Feuil1!$E$10:$E$20</c:f>
              <c:numCache/>
            </c:numRef>
          </c:yVal>
          <c:smooth val="1"/>
        </c:ser>
        <c:ser>
          <c:idx val="3"/>
          <c:order val="3"/>
          <c:tx>
            <c:strRef>
              <c:f>Feuil1!$F$9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Feuil1!$B$10:$B$20</c:f>
              <c:numCache/>
            </c:numRef>
          </c:xVal>
          <c:yVal>
            <c:numRef>
              <c:f>Feuil1!$F$10:$F$20</c:f>
              <c:numCache/>
            </c:numRef>
          </c:yVal>
          <c:smooth val="1"/>
        </c:ser>
        <c:axId val="25842775"/>
        <c:axId val="31258384"/>
      </c:scatterChart>
      <c:valAx>
        <c:axId val="25842775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8384"/>
        <c:crosses val="autoZero"/>
        <c:crossBetween val="midCat"/>
        <c:dispUnits/>
        <c:majorUnit val="0.1"/>
        <c:minorUnit val="0.05"/>
      </c:valAx>
      <c:valAx>
        <c:axId val="3125838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42775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2775"/>
          <c:w val="0.153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D'UNE CUVE CYLINDRIQUE COUCHEE EN FONCTION DE LA HAUTEUR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D=2m  L=2m  V=6.28m3</a:t>
            </a:r>
          </a:p>
        </c:rich>
      </c:tx>
      <c:layout>
        <c:manualLayout>
          <c:xMode val="factor"/>
          <c:yMode val="factor"/>
          <c:x val="0.04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025"/>
          <c:w val="0.90925"/>
          <c:h val="0.75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Feuil1!$B$27:$B$37</c:f>
              <c:numCache/>
            </c:numRef>
          </c:xVal>
          <c:yVal>
            <c:numRef>
              <c:f>Feuil1!$C$27:$C$37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Feuil1!$B$27:$B$37</c:f>
              <c:numCache/>
            </c:numRef>
          </c:xVal>
          <c:yVal>
            <c:numRef>
              <c:f>Feuil1!$D$27:$D$37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Feuil1!$B$27:$B$37</c:f>
              <c:numCache/>
            </c:numRef>
          </c:xVal>
          <c:yVal>
            <c:numRef>
              <c:f>Feuil1!$E$27:$E$37</c:f>
              <c:numCache/>
            </c:numRef>
          </c:yVal>
          <c:smooth val="1"/>
        </c:ser>
        <c:axId val="12890001"/>
        <c:axId val="48901146"/>
      </c:scatterChart>
      <c:valAx>
        <c:axId val="1289000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HAUTEUR DU NIVEAU en mètre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1146"/>
        <c:crosses val="autoZero"/>
        <c:crossBetween val="midCat"/>
        <c:dispUnits/>
        <c:majorUnit val="0.1"/>
      </c:valAx>
      <c:valAx>
        <c:axId val="48901146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en m3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0001"/>
        <c:crosses val="autoZero"/>
        <c:crossBetween val="midCat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015"/>
          <c:w val="0.94175"/>
          <c:h val="0.9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Feuil1!$B$54:$B$64</c:f>
              <c:numCache/>
            </c:numRef>
          </c:xVal>
          <c:yVal>
            <c:numRef>
              <c:f>Feuil1!$D$54:$D$64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Feuil1!$B$54:$B$64</c:f>
              <c:numCache/>
            </c:numRef>
          </c:xVal>
          <c:yVal>
            <c:numRef>
              <c:f>Feuil1!$E$54:$E$64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Feuil1!$B$54:$B$64</c:f>
              <c:numCache/>
            </c:numRef>
          </c:xVal>
          <c:yVal>
            <c:numRef>
              <c:f>Feuil1!$F$54:$F$64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Feuil1!$B$54:$B$64</c:f>
              <c:numCache/>
            </c:numRef>
          </c:xVal>
          <c:yVal>
            <c:numRef>
              <c:f>Feuil1!$G$53:$G$53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Feuil1!$B$54:$B$64</c:f>
              <c:numCache/>
            </c:num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Feuil1!$B$54:$B$64</c:f>
              <c:numCache/>
            </c:numRef>
          </c:xVal>
          <c:yVal>
            <c:numRef>
              <c:f>Feuil1!$G$54:$G$64</c:f>
              <c:numCache/>
            </c:numRef>
          </c:yVal>
          <c:smooth val="1"/>
        </c:ser>
        <c:axId val="37457131"/>
        <c:axId val="1569860"/>
      </c:scatterChart>
      <c:valAx>
        <c:axId val="37457131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860"/>
        <c:crosses val="autoZero"/>
        <c:crossBetween val="midCat"/>
        <c:dispUnits/>
        <c:majorUnit val="0.1"/>
        <c:minorUnit val="0.05"/>
      </c:valAx>
      <c:valAx>
        <c:axId val="156986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57131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05425"/>
          <c:w val="0.1307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65"/>
          <c:w val="0.87525"/>
          <c:h val="0.9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Feuil1!$E$90</c:f>
              <c:strCache>
                <c:ptCount val="1"/>
                <c:pt idx="0">
                  <c:v>V'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Feuil1!$C$91:$C$101</c:f>
              <c:numCache/>
            </c:numRef>
          </c:xVal>
          <c:yVal>
            <c:numRef>
              <c:f>Feuil1!$E$91:$E$101</c:f>
              <c:numCache/>
            </c:numRef>
          </c:yVal>
          <c:smooth val="1"/>
        </c:ser>
        <c:ser>
          <c:idx val="1"/>
          <c:order val="1"/>
          <c:tx>
            <c:strRef>
              <c:f>Feuil1!$F$90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Feuil1!$C$91:$C$101</c:f>
              <c:numCache/>
            </c:numRef>
          </c:xVal>
          <c:yVal>
            <c:numRef>
              <c:f>Feuil1!$F$91:$F$101</c:f>
              <c:numCache/>
            </c:numRef>
          </c:yVal>
          <c:smooth val="1"/>
        </c:ser>
        <c:ser>
          <c:idx val="2"/>
          <c:order val="2"/>
          <c:tx>
            <c:strRef>
              <c:f>Feuil1!$G$79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Feuil1!$C$91:$C$101</c:f>
              <c:numCache/>
            </c:numRef>
          </c:xVal>
          <c:yVal>
            <c:numRef>
              <c:f>Feuil1!$G$80:$G$90</c:f>
              <c:numCache/>
            </c:numRef>
          </c:yVal>
          <c:smooth val="1"/>
        </c:ser>
        <c:axId val="14128741"/>
        <c:axId val="60049806"/>
      </c:scatterChart>
      <c:valAx>
        <c:axId val="14128741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49806"/>
        <c:crosses val="autoZero"/>
        <c:crossBetween val="midCat"/>
        <c:dispUnits/>
        <c:majorUnit val="0.5"/>
      </c:valAx>
      <c:valAx>
        <c:axId val="60049806"/>
        <c:scaling>
          <c:orientation val="minMax"/>
          <c:max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874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3925"/>
          <c:w val="0.084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dbl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DU LIQUIDE DANS UNE SPHERE EN FONCTION DE LA HAUTEUR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825"/>
          <c:w val="0.931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Feuil1!$C$109:$C$119</c:f>
              <c:numCache/>
            </c:numRef>
          </c:xVal>
          <c:yVal>
            <c:numRef>
              <c:f>Feuil1!$D$109:$D$119</c:f>
              <c:numCache/>
            </c:numRef>
          </c:yVal>
          <c:smooth val="1"/>
        </c:ser>
        <c:axId val="3577343"/>
        <c:axId val="32196088"/>
      </c:scatterChart>
      <c:valAx>
        <c:axId val="35773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HAUTEUR DU LIQUIDE en mètre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088"/>
        <c:crosses val="autoZero"/>
        <c:crossBetween val="midCat"/>
        <c:dispUnits/>
      </c:valAx>
      <c:valAx>
        <c:axId val="32196088"/>
        <c:scaling>
          <c:orientation val="minMax"/>
          <c:max val="2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DU LIQUIDE em"m3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4925"/>
          <c:w val="0.119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dbl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 : VOLUME PARTIEL/VOLUME TOTAL EN FONCTION DE LA HAUTEUR</a:t>
            </a:r>
          </a:p>
        </c:rich>
      </c:tx>
      <c:layout>
        <c:manualLayout>
          <c:xMode val="factor"/>
          <c:yMode val="factor"/>
          <c:x val="0.06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275"/>
          <c:w val="0.89175"/>
          <c:h val="0.77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Feuil1!$H$126</c:f>
              <c:strCache>
                <c:ptCount val="1"/>
                <c:pt idx="0">
                  <c:v>SPHERE         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Feuil1!$C$127:$C$137</c:f>
              <c:numCache/>
            </c:numRef>
          </c:xVal>
          <c:yVal>
            <c:numRef>
              <c:f>Feuil1!$H$127:$H$137</c:f>
              <c:numCache/>
            </c:numRef>
          </c:yVal>
          <c:smooth val="1"/>
        </c:ser>
        <c:ser>
          <c:idx val="1"/>
          <c:order val="1"/>
          <c:tx>
            <c:strRef>
              <c:f>Feuil1!$I$126</c:f>
              <c:strCache>
                <c:ptCount val="1"/>
                <c:pt idx="0">
                  <c:v>CYLINDRIQUE Rc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Feuil1!$C$127:$C$137</c:f>
              <c:numCache/>
            </c:numRef>
          </c:xVal>
          <c:yVal>
            <c:numRef>
              <c:f>Feuil1!$I$127:$I$137</c:f>
              <c:numCache/>
            </c:numRef>
          </c:yVal>
          <c:smooth val="1"/>
        </c:ser>
        <c:axId val="21329337"/>
        <c:axId val="57746306"/>
      </c:scatterChart>
      <c:valAx>
        <c:axId val="213293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HAUTEUR DU LIQUIDE en % de l'échelle du transmetteur
SIGNAL D'ENTREE DU GENRATEUR DE FONCTION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6306"/>
        <c:crosses val="autoZero"/>
        <c:crossBetween val="midCat"/>
        <c:dispUnits/>
        <c:majorUnit val="0.1"/>
        <c:minorUnit val="0.05"/>
      </c:valAx>
      <c:valAx>
        <c:axId val="577463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COEFFICIENTS DU GENERATEUR DE FONCTION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9337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5"/>
          <c:y val="0.22525"/>
          <c:w val="0.226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Volume d'une cuve cylindrique en fonction de la hauteur </a:t>
            </a:r>
          </a:p>
        </c:rich>
      </c:tx>
      <c:layout>
        <c:manualLayout>
          <c:xMode val="factor"/>
          <c:yMode val="factor"/>
          <c:x val="-0.02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5475"/>
          <c:w val="0.949"/>
          <c:h val="0.9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'Cuve horizontale'!$B$12</c:f>
              <c:strCache>
                <c:ptCount val="1"/>
                <c:pt idx="0">
                  <c:v>Volume cylindre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'Cuve horizontale'!$A$13:$A$23</c:f>
              <c:numCache/>
            </c:numRef>
          </c:xVal>
          <c:yVal>
            <c:numRef>
              <c:f>'Cuve horizontale'!$B$13:$B$23</c:f>
              <c:numCache/>
            </c:numRef>
          </c:yVal>
          <c:smooth val="1"/>
        </c:ser>
        <c:ser>
          <c:idx val="1"/>
          <c:order val="1"/>
          <c:tx>
            <c:strRef>
              <c:f>'Cuve horizontale'!$C$12</c:f>
              <c:strCache>
                <c:ptCount val="1"/>
                <c:pt idx="0">
                  <c:v>Volume fonds bombes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'Cuve horizontale'!$A$13:$A$23</c:f>
              <c:numCache/>
            </c:numRef>
          </c:xVal>
          <c:yVal>
            <c:numRef>
              <c:f>'Cuve horizontale'!$C$13:$C$23</c:f>
              <c:numCache/>
            </c:numRef>
          </c:yVal>
          <c:smooth val="1"/>
        </c:ser>
        <c:ser>
          <c:idx val="2"/>
          <c:order val="2"/>
          <c:tx>
            <c:strRef>
              <c:f>'Cuve horizontale'!$D$12</c:f>
              <c:strCache>
                <c:ptCount val="1"/>
                <c:pt idx="0">
                  <c:v>Volume  total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'Cuve horizontale'!$A$13:$A$23</c:f>
              <c:numCache/>
            </c:numRef>
          </c:xVal>
          <c:yVal>
            <c:numRef>
              <c:f>'Cuve horizontale'!$D$13:$D$23</c:f>
              <c:numCache/>
            </c:numRef>
          </c:yVal>
          <c:smooth val="1"/>
        </c:ser>
        <c:axId val="49954707"/>
        <c:axId val="46939180"/>
      </c:scatterChart>
      <c:valAx>
        <c:axId val="49954707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Hauteur en mètre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9180"/>
        <c:crosses val="autoZero"/>
        <c:crossBetween val="midCat"/>
        <c:dispUnits/>
      </c:valAx>
      <c:valAx>
        <c:axId val="4693918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47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65325"/>
          <c:y val="0.547"/>
          <c:w val="0.248"/>
          <c:h val="0.15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55"/>
          <c:w val="0.93"/>
          <c:h val="0.9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'Cuve horizontale'!$B$44</c:f>
              <c:strCache>
                <c:ptCount val="1"/>
                <c:pt idx="0">
                  <c:v>Volume elliptique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'Cuve horizontale'!$A$45:$A$55</c:f>
              <c:numCache/>
            </c:numRef>
          </c:xVal>
          <c:yVal>
            <c:numRef>
              <c:f>'Cuve horizontale'!$B$45:$B$55</c:f>
              <c:numCache/>
            </c:numRef>
          </c:yVal>
          <c:smooth val="1"/>
        </c:ser>
        <c:ser>
          <c:idx val="1"/>
          <c:order val="1"/>
          <c:tx>
            <c:strRef>
              <c:f>'Cuve horizontale'!$C$44</c:f>
              <c:strCache>
                <c:ptCount val="1"/>
                <c:pt idx="0">
                  <c:v>Volume fonds bombes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'Cuve horizontale'!$A$45:$A$55</c:f>
              <c:numCache/>
            </c:numRef>
          </c:xVal>
          <c:yVal>
            <c:numRef>
              <c:f>'Cuve horizontale'!$C$45:$C$55</c:f>
              <c:numCache/>
            </c:numRef>
          </c:yVal>
          <c:smooth val="1"/>
        </c:ser>
        <c:ser>
          <c:idx val="2"/>
          <c:order val="2"/>
          <c:tx>
            <c:strRef>
              <c:f>'Cuve horizontale'!$D$44</c:f>
              <c:strCache>
                <c:ptCount val="1"/>
                <c:pt idx="0">
                  <c:v>Volume  total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'Cuve horizontale'!$A$45:$A$55</c:f>
              <c:numCache/>
            </c:numRef>
          </c:xVal>
          <c:yVal>
            <c:numRef>
              <c:f>'Cuve horizontale'!$D$45:$D$55</c:f>
              <c:numCache/>
            </c:numRef>
          </c:yVal>
          <c:smooth val="1"/>
        </c:ser>
        <c:axId val="19799437"/>
        <c:axId val="43977206"/>
      </c:scatterChart>
      <c:valAx>
        <c:axId val="19799437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7206"/>
        <c:crosses val="autoZero"/>
        <c:crossBetween val="midCat"/>
        <c:dispUnits/>
      </c:valAx>
      <c:valAx>
        <c:axId val="4397720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4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56775"/>
          <c:w val="0.244"/>
          <c:h val="0.18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Volume sphére en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fonction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de la hauteur </a:t>
            </a:r>
          </a:p>
        </c:rich>
      </c:tx>
      <c:layout>
        <c:manualLayout>
          <c:xMode val="factor"/>
          <c:yMode val="factor"/>
          <c:x val="0.018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495"/>
          <c:w val="0.93225"/>
          <c:h val="0.8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'Cuve horizontale'!$B$69</c:f>
              <c:strCache>
                <c:ptCount val="1"/>
                <c:pt idx="0">
                  <c:v>Volume sphére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'Cuve horizontale'!$A$70:$A$80</c:f>
              <c:numCache/>
            </c:numRef>
          </c:xVal>
          <c:yVal>
            <c:numRef>
              <c:f>'Cuve horizontale'!$B$70:$B$80</c:f>
              <c:numCache/>
            </c:numRef>
          </c:yVal>
          <c:smooth val="1"/>
        </c:ser>
        <c:axId val="60250535"/>
        <c:axId val="5383904"/>
      </c:scatterChart>
      <c:valAx>
        <c:axId val="60250535"/>
        <c:scaling>
          <c:orientation val="minMax"/>
          <c:max val="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904"/>
        <c:crosses val="autoZero"/>
        <c:crossBetween val="midCat"/>
        <c:dispUnits/>
      </c:valAx>
      <c:valAx>
        <c:axId val="5383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05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5"/>
          <c:y val="0.5235"/>
          <c:w val="0.20775"/>
          <c:h val="0.06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0.45575</cdr:y>
    </cdr:from>
    <cdr:to>
      <cdr:x>0.524</cdr:x>
      <cdr:y>0.52225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847975" y="1504950"/>
          <a:ext cx="180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5</xdr:row>
      <xdr:rowOff>28575</xdr:rowOff>
    </xdr:from>
    <xdr:to>
      <xdr:col>14</xdr:col>
      <xdr:colOff>9525</xdr:colOff>
      <xdr:row>22</xdr:row>
      <xdr:rowOff>152400</xdr:rowOff>
    </xdr:to>
    <xdr:graphicFrame>
      <xdr:nvGraphicFramePr>
        <xdr:cNvPr id="1" name="Chart 5"/>
        <xdr:cNvGraphicFramePr/>
      </xdr:nvGraphicFramePr>
      <xdr:xfrm>
        <a:off x="5676900" y="838200"/>
        <a:ext cx="5000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22</xdr:row>
      <xdr:rowOff>152400</xdr:rowOff>
    </xdr:from>
    <xdr:to>
      <xdr:col>13</xdr:col>
      <xdr:colOff>371475</xdr:colOff>
      <xdr:row>43</xdr:row>
      <xdr:rowOff>57150</xdr:rowOff>
    </xdr:to>
    <xdr:graphicFrame>
      <xdr:nvGraphicFramePr>
        <xdr:cNvPr id="2" name="Chart 6"/>
        <xdr:cNvGraphicFramePr/>
      </xdr:nvGraphicFramePr>
      <xdr:xfrm>
        <a:off x="4486275" y="3714750"/>
        <a:ext cx="57912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48</xdr:row>
      <xdr:rowOff>114300</xdr:rowOff>
    </xdr:from>
    <xdr:to>
      <xdr:col>15</xdr:col>
      <xdr:colOff>685800</xdr:colOff>
      <xdr:row>80</xdr:row>
      <xdr:rowOff>114300</xdr:rowOff>
    </xdr:to>
    <xdr:graphicFrame>
      <xdr:nvGraphicFramePr>
        <xdr:cNvPr id="3" name="Chart 9"/>
        <xdr:cNvGraphicFramePr/>
      </xdr:nvGraphicFramePr>
      <xdr:xfrm>
        <a:off x="6134100" y="7886700"/>
        <a:ext cx="59817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82</xdr:row>
      <xdr:rowOff>85725</xdr:rowOff>
    </xdr:from>
    <xdr:to>
      <xdr:col>15</xdr:col>
      <xdr:colOff>28575</xdr:colOff>
      <xdr:row>104</xdr:row>
      <xdr:rowOff>152400</xdr:rowOff>
    </xdr:to>
    <xdr:graphicFrame>
      <xdr:nvGraphicFramePr>
        <xdr:cNvPr id="4" name="Chart 10"/>
        <xdr:cNvGraphicFramePr/>
      </xdr:nvGraphicFramePr>
      <xdr:xfrm>
        <a:off x="5476875" y="13363575"/>
        <a:ext cx="5981700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400050</xdr:colOff>
      <xdr:row>106</xdr:row>
      <xdr:rowOff>142875</xdr:rowOff>
    </xdr:from>
    <xdr:to>
      <xdr:col>14</xdr:col>
      <xdr:colOff>190500</xdr:colOff>
      <xdr:row>124</xdr:row>
      <xdr:rowOff>104775</xdr:rowOff>
    </xdr:to>
    <xdr:graphicFrame>
      <xdr:nvGraphicFramePr>
        <xdr:cNvPr id="5" name="Chart 11"/>
        <xdr:cNvGraphicFramePr/>
      </xdr:nvGraphicFramePr>
      <xdr:xfrm>
        <a:off x="4705350" y="17306925"/>
        <a:ext cx="615315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590550</xdr:colOff>
      <xdr:row>138</xdr:row>
      <xdr:rowOff>123825</xdr:rowOff>
    </xdr:from>
    <xdr:to>
      <xdr:col>12</xdr:col>
      <xdr:colOff>161925</xdr:colOff>
      <xdr:row>156</xdr:row>
      <xdr:rowOff>85725</xdr:rowOff>
    </xdr:to>
    <xdr:graphicFrame>
      <xdr:nvGraphicFramePr>
        <xdr:cNvPr id="6" name="Chart 13"/>
        <xdr:cNvGraphicFramePr/>
      </xdr:nvGraphicFramePr>
      <xdr:xfrm>
        <a:off x="4133850" y="22812375"/>
        <a:ext cx="517207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0.128</cdr:y>
    </cdr:from>
    <cdr:to>
      <cdr:x>0.49975</cdr:x>
      <cdr:y>0.46225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" y="552450"/>
          <a:ext cx="2324100" cy="1447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0.12525</cdr:y>
    </cdr:from>
    <cdr:to>
      <cdr:x>0.40025</cdr:x>
      <cdr:y>0.53675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2450" y="476250"/>
          <a:ext cx="1990725" cy="1571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142875</xdr:rowOff>
    </xdr:from>
    <xdr:to>
      <xdr:col>13</xdr:col>
      <xdr:colOff>219075</xdr:colOff>
      <xdr:row>29</xdr:row>
      <xdr:rowOff>104775</xdr:rowOff>
    </xdr:to>
    <xdr:graphicFrame>
      <xdr:nvGraphicFramePr>
        <xdr:cNvPr id="1" name="Graphique 1"/>
        <xdr:cNvGraphicFramePr/>
      </xdr:nvGraphicFramePr>
      <xdr:xfrm>
        <a:off x="3857625" y="466725"/>
        <a:ext cx="62674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34</xdr:row>
      <xdr:rowOff>9525</xdr:rowOff>
    </xdr:from>
    <xdr:to>
      <xdr:col>13</xdr:col>
      <xdr:colOff>381000</xdr:colOff>
      <xdr:row>57</xdr:row>
      <xdr:rowOff>95250</xdr:rowOff>
    </xdr:to>
    <xdr:graphicFrame>
      <xdr:nvGraphicFramePr>
        <xdr:cNvPr id="2" name="Graphique 2"/>
        <xdr:cNvGraphicFramePr/>
      </xdr:nvGraphicFramePr>
      <xdr:xfrm>
        <a:off x="3914775" y="5514975"/>
        <a:ext cx="63722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63</xdr:row>
      <xdr:rowOff>47625</xdr:rowOff>
    </xdr:from>
    <xdr:to>
      <xdr:col>13</xdr:col>
      <xdr:colOff>438150</xdr:colOff>
      <xdr:row>83</xdr:row>
      <xdr:rowOff>133350</xdr:rowOff>
    </xdr:to>
    <xdr:graphicFrame>
      <xdr:nvGraphicFramePr>
        <xdr:cNvPr id="3" name="Graphique 3"/>
        <xdr:cNvGraphicFramePr/>
      </xdr:nvGraphicFramePr>
      <xdr:xfrm>
        <a:off x="3886200" y="10248900"/>
        <a:ext cx="64579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154"/>
  <sheetViews>
    <sheetView zoomScalePageLayoutView="0" workbookViewId="0" topLeftCell="A130">
      <selection activeCell="M127" sqref="M127"/>
    </sheetView>
  </sheetViews>
  <sheetFormatPr defaultColWidth="11.421875" defaultRowHeight="12.75"/>
  <cols>
    <col min="2" max="2" width="7.421875" style="0" customWidth="1"/>
    <col min="7" max="7" width="14.00390625" style="0" customWidth="1"/>
    <col min="9" max="9" width="12.8515625" style="0" customWidth="1"/>
  </cols>
  <sheetData>
    <row r="9" spans="2:5" ht="12.75">
      <c r="B9" s="1" t="s">
        <v>0</v>
      </c>
      <c r="C9" s="1" t="s">
        <v>1</v>
      </c>
      <c r="E9" t="s">
        <v>2</v>
      </c>
    </row>
    <row r="10" spans="1:6" ht="12.75">
      <c r="A10">
        <f>3.14*(0.5*0.5)</f>
        <v>0.785</v>
      </c>
      <c r="B10" s="2">
        <v>0</v>
      </c>
      <c r="C10" s="3">
        <v>0</v>
      </c>
      <c r="D10" s="2">
        <v>0</v>
      </c>
      <c r="E10" s="5">
        <f>0.5*ATAN(B10/0.5)</f>
        <v>0</v>
      </c>
      <c r="F10">
        <v>0</v>
      </c>
    </row>
    <row r="11" spans="2:7" ht="12.75">
      <c r="B11" s="2">
        <v>0.1</v>
      </c>
      <c r="C11" s="3">
        <v>0.051</v>
      </c>
      <c r="D11" s="2">
        <v>0.1</v>
      </c>
      <c r="E11" s="5">
        <f aca="true" t="shared" si="0" ref="E11:E20">0.5*ATAN(B11/0.5)</f>
        <v>0.09869777992494039</v>
      </c>
      <c r="F11">
        <f>0.0746</f>
        <v>0.0746</v>
      </c>
      <c r="G11" s="4">
        <f aca="true" t="shared" si="1" ref="G11:G20">(C11-D11)/D11</f>
        <v>-0.49000000000000005</v>
      </c>
    </row>
    <row r="12" spans="2:7" ht="12.75">
      <c r="B12" s="2">
        <v>0.2</v>
      </c>
      <c r="C12" s="3">
        <v>0.14</v>
      </c>
      <c r="D12" s="2">
        <v>0.2</v>
      </c>
      <c r="E12" s="5">
        <f t="shared" si="0"/>
        <v>0.19025318855618245</v>
      </c>
      <c r="F12">
        <f>0.0746*2</f>
        <v>0.1492</v>
      </c>
      <c r="G12" s="4">
        <f t="shared" si="1"/>
        <v>-0.3</v>
      </c>
    </row>
    <row r="13" spans="2:7" ht="12.75">
      <c r="B13" s="2">
        <v>0.3</v>
      </c>
      <c r="C13" s="3">
        <v>0.255</v>
      </c>
      <c r="D13" s="2">
        <v>0.3</v>
      </c>
      <c r="E13" s="5">
        <f t="shared" si="0"/>
        <v>0.2702097501352921</v>
      </c>
      <c r="F13">
        <f>0.0746*3</f>
        <v>0.2238</v>
      </c>
      <c r="G13" s="4">
        <f t="shared" si="1"/>
        <v>-0.14999999999999997</v>
      </c>
    </row>
    <row r="14" spans="2:7" ht="12.75">
      <c r="B14" s="2">
        <v>0.4</v>
      </c>
      <c r="C14" s="3">
        <v>0.375</v>
      </c>
      <c r="D14" s="2">
        <v>0.4</v>
      </c>
      <c r="E14" s="5">
        <f t="shared" si="0"/>
        <v>0.33737047111177637</v>
      </c>
      <c r="F14">
        <f>0.0746*4</f>
        <v>0.2984</v>
      </c>
      <c r="G14" s="4">
        <f t="shared" si="1"/>
        <v>-0.06250000000000006</v>
      </c>
    </row>
    <row r="15" spans="2:7" ht="12.75">
      <c r="B15" s="2">
        <v>0.5</v>
      </c>
      <c r="C15" s="3">
        <v>0.5</v>
      </c>
      <c r="D15" s="2">
        <v>0.5</v>
      </c>
      <c r="E15" s="5">
        <f t="shared" si="0"/>
        <v>0.39269908169872414</v>
      </c>
      <c r="F15">
        <f>0.0746*5</f>
        <v>0.373</v>
      </c>
      <c r="G15" s="4">
        <f t="shared" si="1"/>
        <v>0</v>
      </c>
    </row>
    <row r="16" spans="2:7" ht="12.75">
      <c r="B16" s="2">
        <v>0.6</v>
      </c>
      <c r="C16" s="3">
        <v>0.63</v>
      </c>
      <c r="D16" s="2">
        <v>0.6</v>
      </c>
      <c r="E16" s="5">
        <f t="shared" si="0"/>
        <v>0.4380290252990967</v>
      </c>
      <c r="F16">
        <f>0.0746*6</f>
        <v>0.4476</v>
      </c>
      <c r="G16" s="4">
        <f t="shared" si="1"/>
        <v>0.050000000000000044</v>
      </c>
    </row>
    <row r="17" spans="2:7" ht="12.75">
      <c r="B17" s="2">
        <v>0.7</v>
      </c>
      <c r="C17" s="3">
        <v>0.745</v>
      </c>
      <c r="D17" s="2">
        <v>0.7</v>
      </c>
      <c r="E17" s="5">
        <f t="shared" si="0"/>
        <v>0.47527342040603754</v>
      </c>
      <c r="F17">
        <f>0.0746*7</f>
        <v>0.5222</v>
      </c>
      <c r="G17" s="4">
        <f t="shared" si="1"/>
        <v>0.06428571428571435</v>
      </c>
    </row>
    <row r="18" spans="2:7" ht="12.75">
      <c r="B18" s="2">
        <v>0.8</v>
      </c>
      <c r="C18" s="3">
        <v>0.85</v>
      </c>
      <c r="D18" s="2">
        <v>0.8</v>
      </c>
      <c r="E18" s="5">
        <f t="shared" si="0"/>
        <v>0.5060985057256671</v>
      </c>
      <c r="F18">
        <f>0.0746*8</f>
        <v>0.5968</v>
      </c>
      <c r="G18" s="4">
        <f t="shared" si="1"/>
        <v>0.06249999999999992</v>
      </c>
    </row>
    <row r="19" spans="2:7" ht="12.75">
      <c r="B19" s="2">
        <v>0.9</v>
      </c>
      <c r="C19" s="3">
        <v>0.949</v>
      </c>
      <c r="D19" s="2">
        <v>0.9</v>
      </c>
      <c r="E19" s="5">
        <f t="shared" si="0"/>
        <v>0.5318489112012799</v>
      </c>
      <c r="F19">
        <f>0.0746*9</f>
        <v>0.6714</v>
      </c>
      <c r="G19" s="4">
        <f t="shared" si="1"/>
        <v>0.054444444444444365</v>
      </c>
    </row>
    <row r="20" spans="2:7" ht="12.75">
      <c r="B20" s="2">
        <v>1</v>
      </c>
      <c r="C20" s="3">
        <v>1</v>
      </c>
      <c r="D20" s="2">
        <v>1</v>
      </c>
      <c r="E20" s="5">
        <f t="shared" si="0"/>
        <v>0.5535743588970452</v>
      </c>
      <c r="F20">
        <f>0.0746*10</f>
        <v>0.746</v>
      </c>
      <c r="G20" s="4">
        <f t="shared" si="1"/>
        <v>0</v>
      </c>
    </row>
    <row r="25" spans="3:4" ht="12.75">
      <c r="C25">
        <v>1</v>
      </c>
      <c r="D25">
        <v>2</v>
      </c>
    </row>
    <row r="27" spans="2:5" ht="12.75">
      <c r="B27">
        <v>0</v>
      </c>
      <c r="C27" s="3">
        <f>0*6.28</f>
        <v>0</v>
      </c>
      <c r="D27" s="5">
        <f>(3.14*B27*B27)*(1-(B27/3))</f>
        <v>0</v>
      </c>
      <c r="E27" s="5">
        <f>C27+D27</f>
        <v>0</v>
      </c>
    </row>
    <row r="28" spans="2:5" ht="12.75">
      <c r="B28">
        <v>0.2</v>
      </c>
      <c r="C28" s="3">
        <f>0.051*6.28</f>
        <v>0.32028</v>
      </c>
      <c r="D28" s="5">
        <f aca="true" t="shared" si="2" ref="D28:D37">(3.14*B28*B28)*(1-(B28/3))</f>
        <v>0.11722666666666669</v>
      </c>
      <c r="E28" s="5">
        <f aca="true" t="shared" si="3" ref="E28:E37">C28+D28</f>
        <v>0.4375066666666667</v>
      </c>
    </row>
    <row r="29" spans="2:5" ht="12.75">
      <c r="B29">
        <v>0.4</v>
      </c>
      <c r="C29" s="3">
        <f>0.14*6.28</f>
        <v>0.8792000000000001</v>
      </c>
      <c r="D29" s="5">
        <f t="shared" si="2"/>
        <v>0.43541333333333343</v>
      </c>
      <c r="E29" s="5">
        <f t="shared" si="3"/>
        <v>1.3146133333333334</v>
      </c>
    </row>
    <row r="30" spans="2:5" ht="12.75">
      <c r="B30">
        <v>0.6</v>
      </c>
      <c r="C30" s="3">
        <f>0.255*6.28</f>
        <v>1.6014000000000002</v>
      </c>
      <c r="D30" s="5">
        <f t="shared" si="2"/>
        <v>0.9043199999999999</v>
      </c>
      <c r="E30" s="5">
        <f t="shared" si="3"/>
        <v>2.50572</v>
      </c>
    </row>
    <row r="31" spans="2:5" ht="12.75">
      <c r="B31">
        <v>0.8</v>
      </c>
      <c r="C31" s="3">
        <f>0.375*6.28</f>
        <v>2.355</v>
      </c>
      <c r="D31" s="5">
        <f t="shared" si="2"/>
        <v>1.473706666666667</v>
      </c>
      <c r="E31" s="5">
        <f t="shared" si="3"/>
        <v>3.828706666666667</v>
      </c>
    </row>
    <row r="32" spans="2:5" ht="12.75">
      <c r="B32">
        <v>1</v>
      </c>
      <c r="C32" s="3">
        <f>0.5*6.28</f>
        <v>3.14</v>
      </c>
      <c r="D32" s="5">
        <f t="shared" si="2"/>
        <v>2.0933333333333337</v>
      </c>
      <c r="E32" s="5">
        <f t="shared" si="3"/>
        <v>5.233333333333334</v>
      </c>
    </row>
    <row r="33" spans="2:5" ht="12.75">
      <c r="B33">
        <v>1.2</v>
      </c>
      <c r="C33" s="3">
        <f>0.63*6.28</f>
        <v>3.9564000000000004</v>
      </c>
      <c r="D33" s="5">
        <f t="shared" si="2"/>
        <v>2.7129600000000003</v>
      </c>
      <c r="E33" s="5">
        <f t="shared" si="3"/>
        <v>6.669360000000001</v>
      </c>
    </row>
    <row r="34" spans="2:5" ht="12.75">
      <c r="B34">
        <v>1.4</v>
      </c>
      <c r="C34" s="3">
        <f>0.745*6.28</f>
        <v>4.6786</v>
      </c>
      <c r="D34" s="5">
        <f t="shared" si="2"/>
        <v>3.282346666666667</v>
      </c>
      <c r="E34" s="5">
        <f t="shared" si="3"/>
        <v>7.9609466666666675</v>
      </c>
    </row>
    <row r="35" spans="2:5" ht="12.75">
      <c r="B35">
        <v>1.6</v>
      </c>
      <c r="C35" s="3">
        <f>0.85*6.28</f>
        <v>5.338</v>
      </c>
      <c r="D35" s="5">
        <f t="shared" si="2"/>
        <v>3.751253333333334</v>
      </c>
      <c r="E35" s="5">
        <f t="shared" si="3"/>
        <v>9.089253333333334</v>
      </c>
    </row>
    <row r="36" spans="2:5" ht="12.75">
      <c r="B36">
        <v>1.8</v>
      </c>
      <c r="C36" s="3">
        <f>0.949*6.28</f>
        <v>5.95972</v>
      </c>
      <c r="D36" s="5">
        <f t="shared" si="2"/>
        <v>4.06944</v>
      </c>
      <c r="E36" s="5">
        <f t="shared" si="3"/>
        <v>10.029160000000001</v>
      </c>
    </row>
    <row r="37" spans="2:5" ht="12.75">
      <c r="B37">
        <v>2</v>
      </c>
      <c r="C37" s="3">
        <f>1*6.28</f>
        <v>6.28</v>
      </c>
      <c r="D37" s="5">
        <f t="shared" si="2"/>
        <v>4.186666666666667</v>
      </c>
      <c r="E37" s="5">
        <f t="shared" si="3"/>
        <v>10.466666666666669</v>
      </c>
    </row>
    <row r="47" spans="4:6" ht="12.75">
      <c r="D47" s="5"/>
      <c r="F47" s="5"/>
    </row>
    <row r="48" spans="1:6" ht="12.75">
      <c r="A48">
        <f>3.14*0.5*0.5</f>
        <v>0.785</v>
      </c>
      <c r="B48">
        <f>0.785/2</f>
        <v>0.3925</v>
      </c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 t="s">
        <v>5</v>
      </c>
      <c r="E53" t="s">
        <v>10</v>
      </c>
      <c r="F53" s="5" t="s">
        <v>6</v>
      </c>
    </row>
    <row r="54" spans="2:8" ht="12.75">
      <c r="B54">
        <v>0</v>
      </c>
      <c r="C54">
        <f aca="true" t="shared" si="4" ref="C54:C64">B54-0.5</f>
        <v>-0.5</v>
      </c>
      <c r="D54" s="5">
        <f>0.5*(ATAN(C54/0.5))+0.3925</f>
        <v>-0.00019908169872412396</v>
      </c>
      <c r="E54">
        <v>0</v>
      </c>
      <c r="F54" s="3">
        <f>0*0.785</f>
        <v>0</v>
      </c>
      <c r="G54" s="7">
        <f>0.25*((ACOS(1-(B54/0.5))-(1-(B54/0.5))*SIN(H54)))</f>
        <v>0</v>
      </c>
      <c r="H54">
        <f>ACOS(1-(B54/0.5))</f>
        <v>0</v>
      </c>
    </row>
    <row r="55" spans="2:8" ht="12.75">
      <c r="B55">
        <v>0.1</v>
      </c>
      <c r="C55">
        <f t="shared" si="4"/>
        <v>-0.4</v>
      </c>
      <c r="D55" s="5">
        <f aca="true" t="shared" si="5" ref="D55:D64">0.5*(ATAN(C55/0.5))+0.3925</f>
        <v>0.055129528888223645</v>
      </c>
      <c r="E55">
        <f>0.0785</f>
        <v>0.0785</v>
      </c>
      <c r="F55" s="3">
        <f>0.051*0.785</f>
        <v>0.040035</v>
      </c>
      <c r="G55" s="7">
        <f aca="true" t="shared" si="6" ref="G55:G64">0.25*((ACOS(1-(B55/0.5))-(1-(B55/0.5))*SIN(H55)))</f>
        <v>0.04087527719832108</v>
      </c>
      <c r="H55">
        <f aca="true" t="shared" si="7" ref="H55:H64">ACOS(1-(B55/0.5))</f>
        <v>0.6435011087932843</v>
      </c>
    </row>
    <row r="56" spans="2:8" ht="12.75">
      <c r="B56">
        <v>0.2</v>
      </c>
      <c r="C56">
        <f t="shared" si="4"/>
        <v>-0.3</v>
      </c>
      <c r="D56" s="5">
        <f t="shared" si="5"/>
        <v>0.12229024986470793</v>
      </c>
      <c r="E56">
        <f>0.0785*2</f>
        <v>0.157</v>
      </c>
      <c r="F56" s="3">
        <f>0.14*0.785</f>
        <v>0.10990000000000001</v>
      </c>
      <c r="G56" s="7">
        <f t="shared" si="6"/>
        <v>0.11182380450040307</v>
      </c>
      <c r="H56">
        <f t="shared" si="7"/>
        <v>0.9272952180016122</v>
      </c>
    </row>
    <row r="57" spans="2:8" ht="12.75">
      <c r="B57">
        <v>0.3</v>
      </c>
      <c r="C57">
        <f t="shared" si="4"/>
        <v>-0.2</v>
      </c>
      <c r="D57" s="5">
        <f t="shared" si="5"/>
        <v>0.20224681144381756</v>
      </c>
      <c r="E57">
        <f>0.0785*3</f>
        <v>0.2355</v>
      </c>
      <c r="F57" s="3">
        <f>0.255*0.785</f>
        <v>0.20017500000000002</v>
      </c>
      <c r="G57" s="7">
        <f t="shared" si="6"/>
        <v>0.19816835628273533</v>
      </c>
      <c r="H57">
        <f t="shared" si="7"/>
        <v>1.1592794807274085</v>
      </c>
    </row>
    <row r="58" spans="2:8" ht="12.75">
      <c r="B58">
        <v>0.4</v>
      </c>
      <c r="C58">
        <f t="shared" si="4"/>
        <v>-0.09999999999999998</v>
      </c>
      <c r="D58" s="5">
        <f t="shared" si="5"/>
        <v>0.29380222007505963</v>
      </c>
      <c r="E58">
        <f>0.0785*4</f>
        <v>0.314</v>
      </c>
      <c r="F58" s="3">
        <f>0.375*0.785</f>
        <v>0.294375</v>
      </c>
      <c r="G58" s="7">
        <f t="shared" si="6"/>
        <v>0.29336980664547785</v>
      </c>
      <c r="H58">
        <f t="shared" si="7"/>
        <v>1.3694384060045657</v>
      </c>
    </row>
    <row r="59" spans="2:8" ht="12.75">
      <c r="B59">
        <v>0.5</v>
      </c>
      <c r="C59">
        <f t="shared" si="4"/>
        <v>0</v>
      </c>
      <c r="D59" s="5">
        <f t="shared" si="5"/>
        <v>0.3925</v>
      </c>
      <c r="E59">
        <f>0.0785*5</f>
        <v>0.3925</v>
      </c>
      <c r="F59" s="3">
        <f>0.5*0.785</f>
        <v>0.3925</v>
      </c>
      <c r="G59" s="7">
        <f t="shared" si="6"/>
        <v>0.39269908169872414</v>
      </c>
      <c r="H59">
        <f t="shared" si="7"/>
        <v>1.5707963267948966</v>
      </c>
    </row>
    <row r="60" spans="2:8" ht="12.75">
      <c r="B60">
        <v>0.6</v>
      </c>
      <c r="C60">
        <f t="shared" si="4"/>
        <v>0.09999999999999998</v>
      </c>
      <c r="D60" s="5">
        <f t="shared" si="5"/>
        <v>0.4911977799249404</v>
      </c>
      <c r="E60">
        <f>0.0785*6</f>
        <v>0.471</v>
      </c>
      <c r="F60" s="3">
        <f>0.63*0.785</f>
        <v>0.49455000000000005</v>
      </c>
      <c r="G60" s="7">
        <f t="shared" si="6"/>
        <v>0.49202835675197043</v>
      </c>
      <c r="H60">
        <f t="shared" si="7"/>
        <v>1.7721542475852274</v>
      </c>
    </row>
    <row r="61" spans="2:8" ht="12.75">
      <c r="B61">
        <v>0.7</v>
      </c>
      <c r="C61">
        <f t="shared" si="4"/>
        <v>0.19999999999999996</v>
      </c>
      <c r="D61" s="5">
        <f t="shared" si="5"/>
        <v>0.5827531885561824</v>
      </c>
      <c r="E61">
        <f>0.0785*7</f>
        <v>0.5495</v>
      </c>
      <c r="F61" s="3">
        <f>0.745*0.785</f>
        <v>0.584825</v>
      </c>
      <c r="G61" s="7">
        <f t="shared" si="6"/>
        <v>0.5872298071147128</v>
      </c>
      <c r="H61">
        <f t="shared" si="7"/>
        <v>1.9823131728623844</v>
      </c>
    </row>
    <row r="62" spans="2:8" ht="12.75">
      <c r="B62">
        <v>0.8</v>
      </c>
      <c r="C62">
        <f t="shared" si="4"/>
        <v>0.30000000000000004</v>
      </c>
      <c r="D62" s="5">
        <f t="shared" si="5"/>
        <v>0.6627097501352921</v>
      </c>
      <c r="E62">
        <f>0.0785*8</f>
        <v>0.628</v>
      </c>
      <c r="F62" s="3">
        <f>0.85*0.785</f>
        <v>0.66725</v>
      </c>
      <c r="G62" s="7">
        <f t="shared" si="6"/>
        <v>0.6735743588970452</v>
      </c>
      <c r="H62">
        <f t="shared" si="7"/>
        <v>2.214297435588181</v>
      </c>
    </row>
    <row r="63" spans="2:8" ht="12.75">
      <c r="B63">
        <v>0.9</v>
      </c>
      <c r="C63">
        <f t="shared" si="4"/>
        <v>0.4</v>
      </c>
      <c r="D63" s="5">
        <f t="shared" si="5"/>
        <v>0.7298704711117764</v>
      </c>
      <c r="E63">
        <f>0.0785*9</f>
        <v>0.7065</v>
      </c>
      <c r="F63" s="3">
        <f>0.949*0.785</f>
        <v>0.744965</v>
      </c>
      <c r="G63" s="7">
        <f t="shared" si="6"/>
        <v>0.7445228861991272</v>
      </c>
      <c r="H63">
        <f t="shared" si="7"/>
        <v>2.498091544796509</v>
      </c>
    </row>
    <row r="64" spans="2:8" ht="12.75">
      <c r="B64">
        <v>1</v>
      </c>
      <c r="C64">
        <f t="shared" si="4"/>
        <v>0.5</v>
      </c>
      <c r="D64" s="5">
        <f t="shared" si="5"/>
        <v>0.7851990816987242</v>
      </c>
      <c r="E64">
        <f>0.0785*10</f>
        <v>0.785</v>
      </c>
      <c r="F64" s="3">
        <f>1*0.785</f>
        <v>0.785</v>
      </c>
      <c r="G64" s="7">
        <f t="shared" si="6"/>
        <v>0.7853981633974483</v>
      </c>
      <c r="H64">
        <f t="shared" si="7"/>
        <v>3.141592653589793</v>
      </c>
    </row>
    <row r="72" spans="2:3" ht="12.75">
      <c r="B72" t="s">
        <v>3</v>
      </c>
      <c r="C72" t="s">
        <v>4</v>
      </c>
    </row>
    <row r="73" spans="2:3" ht="12.75">
      <c r="B73">
        <v>0</v>
      </c>
      <c r="C73" s="5">
        <f>SQRT((B73)-(B73*B73))</f>
        <v>0</v>
      </c>
    </row>
    <row r="74" spans="2:3" ht="12.75">
      <c r="B74">
        <v>0.1</v>
      </c>
      <c r="C74" s="5">
        <f aca="true" t="shared" si="8" ref="C74:C83">SQRT((B74)-(B74*B74))</f>
        <v>0.3</v>
      </c>
    </row>
    <row r="75" spans="2:3" ht="12.75">
      <c r="B75">
        <v>0.2</v>
      </c>
      <c r="C75" s="5">
        <f t="shared" si="8"/>
        <v>0.4</v>
      </c>
    </row>
    <row r="76" spans="2:3" ht="12.75">
      <c r="B76">
        <v>0.3</v>
      </c>
      <c r="C76" s="5">
        <f t="shared" si="8"/>
        <v>0.458257569495584</v>
      </c>
    </row>
    <row r="77" spans="2:3" ht="12.75">
      <c r="B77">
        <v>0.4</v>
      </c>
      <c r="C77" s="5">
        <f t="shared" si="8"/>
        <v>0.4898979485566356</v>
      </c>
    </row>
    <row r="78" spans="2:3" ht="12.75">
      <c r="B78">
        <v>0.5</v>
      </c>
      <c r="C78" s="5">
        <f t="shared" si="8"/>
        <v>0.5</v>
      </c>
    </row>
    <row r="79" spans="2:3" ht="12.75">
      <c r="B79">
        <v>0.6</v>
      </c>
      <c r="C79" s="5">
        <f t="shared" si="8"/>
        <v>0.4898979485566356</v>
      </c>
    </row>
    <row r="80" spans="2:7" ht="12.75">
      <c r="B80">
        <v>0.7</v>
      </c>
      <c r="C80" s="5">
        <f t="shared" si="8"/>
        <v>0.45825756949558405</v>
      </c>
      <c r="G80" s="5">
        <f>E91+F91</f>
        <v>0</v>
      </c>
    </row>
    <row r="81" spans="2:7" ht="12.75">
      <c r="B81">
        <v>0.8</v>
      </c>
      <c r="C81" s="5">
        <f t="shared" si="8"/>
        <v>0.3999999999999999</v>
      </c>
      <c r="G81" s="5">
        <f aca="true" t="shared" si="9" ref="G81:G90">E92+F92</f>
        <v>3.7086539999999997</v>
      </c>
    </row>
    <row r="82" spans="2:7" ht="12.75">
      <c r="B82">
        <v>0.9</v>
      </c>
      <c r="C82" s="5">
        <f t="shared" si="8"/>
        <v>0.29999999999999993</v>
      </c>
      <c r="G82" s="5">
        <f t="shared" si="9"/>
        <v>10.282872000000001</v>
      </c>
    </row>
    <row r="83" spans="2:7" ht="12.75">
      <c r="B83">
        <v>1</v>
      </c>
      <c r="C83" s="5">
        <f t="shared" si="8"/>
        <v>0</v>
      </c>
      <c r="G83" s="5">
        <f t="shared" si="9"/>
        <v>18.829638</v>
      </c>
    </row>
    <row r="84" ht="12.75">
      <c r="G84" s="5">
        <f t="shared" si="9"/>
        <v>27.820086000000003</v>
      </c>
    </row>
    <row r="85" ht="12.75">
      <c r="G85" s="5">
        <f t="shared" si="9"/>
        <v>37.209</v>
      </c>
    </row>
    <row r="86" ht="12.75">
      <c r="G86" s="5">
        <f t="shared" si="9"/>
        <v>46.951164000000006</v>
      </c>
    </row>
    <row r="87" ht="12.75">
      <c r="G87" s="5">
        <f t="shared" si="9"/>
        <v>55.588362000000004</v>
      </c>
    </row>
    <row r="88" spans="3:7" ht="12.75">
      <c r="C88" t="s">
        <v>7</v>
      </c>
      <c r="G88" s="5">
        <f t="shared" si="9"/>
        <v>63.428628</v>
      </c>
    </row>
    <row r="89" ht="12.75">
      <c r="G89" s="5">
        <f t="shared" si="9"/>
        <v>70.70934600000001</v>
      </c>
    </row>
    <row r="90" spans="3:7" ht="12.75">
      <c r="C90" t="s">
        <v>0</v>
      </c>
      <c r="D90" t="s">
        <v>8</v>
      </c>
      <c r="E90" t="s">
        <v>9</v>
      </c>
      <c r="F90" s="1" t="s">
        <v>1</v>
      </c>
      <c r="G90" s="5">
        <f t="shared" si="9"/>
        <v>74.418</v>
      </c>
    </row>
    <row r="91" spans="3:6" ht="12.75">
      <c r="C91">
        <v>0</v>
      </c>
      <c r="D91" s="5">
        <f>(1-C91/4.5)</f>
        <v>1</v>
      </c>
      <c r="E91">
        <f>3.14*0.4*C91*C91*D91</f>
        <v>0</v>
      </c>
      <c r="F91" s="3">
        <f>0*70.65</f>
        <v>0</v>
      </c>
    </row>
    <row r="92" spans="3:6" ht="12.75">
      <c r="C92">
        <v>0.3</v>
      </c>
      <c r="D92" s="5">
        <f aca="true" t="shared" si="10" ref="D92:D101">(1-C92/4.5)</f>
        <v>0.9333333333333333</v>
      </c>
      <c r="E92">
        <f aca="true" t="shared" si="11" ref="E92:E101">3.14*0.4*C92*C92*D92</f>
        <v>0.10550400000000001</v>
      </c>
      <c r="F92" s="3">
        <f>0.051*70.65</f>
        <v>3.60315</v>
      </c>
    </row>
    <row r="93" spans="3:6" ht="12.75">
      <c r="C93">
        <v>0.6</v>
      </c>
      <c r="D93" s="5">
        <f t="shared" si="10"/>
        <v>0.8666666666666667</v>
      </c>
      <c r="E93">
        <f t="shared" si="11"/>
        <v>0.39187200000000005</v>
      </c>
      <c r="F93" s="3">
        <f>0.14*70.65</f>
        <v>9.891000000000002</v>
      </c>
    </row>
    <row r="94" spans="3:6" ht="12.75">
      <c r="C94">
        <v>0.9</v>
      </c>
      <c r="D94" s="5">
        <f t="shared" si="10"/>
        <v>0.8</v>
      </c>
      <c r="E94">
        <f t="shared" si="11"/>
        <v>0.8138880000000003</v>
      </c>
      <c r="F94" s="3">
        <f>0.255*70.65</f>
        <v>18.01575</v>
      </c>
    </row>
    <row r="95" spans="3:6" ht="12.75">
      <c r="C95">
        <v>1.2</v>
      </c>
      <c r="D95" s="5">
        <f t="shared" si="10"/>
        <v>0.7333333333333334</v>
      </c>
      <c r="E95">
        <f t="shared" si="11"/>
        <v>1.3263360000000002</v>
      </c>
      <c r="F95" s="3">
        <f>0.375*70.65</f>
        <v>26.493750000000002</v>
      </c>
    </row>
    <row r="96" spans="3:6" ht="12.75">
      <c r="C96">
        <v>1.5</v>
      </c>
      <c r="D96" s="5">
        <f t="shared" si="10"/>
        <v>0.6666666666666667</v>
      </c>
      <c r="E96">
        <f t="shared" si="11"/>
        <v>1.8840000000000006</v>
      </c>
      <c r="F96" s="3">
        <f>0.5*70.65</f>
        <v>35.325</v>
      </c>
    </row>
    <row r="97" spans="3:6" ht="12.75">
      <c r="C97">
        <v>1.8</v>
      </c>
      <c r="D97" s="5">
        <f t="shared" si="10"/>
        <v>0.6</v>
      </c>
      <c r="E97">
        <f t="shared" si="11"/>
        <v>2.4416640000000007</v>
      </c>
      <c r="F97" s="3">
        <f>0.63*70.65</f>
        <v>44.5095</v>
      </c>
    </row>
    <row r="98" spans="3:6" ht="12.75">
      <c r="C98">
        <v>2.1</v>
      </c>
      <c r="D98" s="5">
        <f t="shared" si="10"/>
        <v>0.5333333333333333</v>
      </c>
      <c r="E98">
        <f t="shared" si="11"/>
        <v>2.9541120000000007</v>
      </c>
      <c r="F98" s="3">
        <f>0.745*70.65</f>
        <v>52.63425</v>
      </c>
    </row>
    <row r="99" spans="3:6" ht="12.75">
      <c r="C99">
        <v>2.4</v>
      </c>
      <c r="D99" s="5">
        <f t="shared" si="10"/>
        <v>0.4666666666666667</v>
      </c>
      <c r="E99">
        <f t="shared" si="11"/>
        <v>3.3761280000000005</v>
      </c>
      <c r="F99" s="3">
        <f>0.85*70.65</f>
        <v>60.0525</v>
      </c>
    </row>
    <row r="100" spans="3:6" ht="12.75">
      <c r="C100">
        <v>2.7</v>
      </c>
      <c r="D100" s="5">
        <f t="shared" si="10"/>
        <v>0.3999999999999999</v>
      </c>
      <c r="E100">
        <f t="shared" si="11"/>
        <v>3.662496</v>
      </c>
      <c r="F100" s="3">
        <f>0.949*70.65</f>
        <v>67.04685</v>
      </c>
    </row>
    <row r="101" spans="3:6" ht="12.75">
      <c r="C101">
        <v>3</v>
      </c>
      <c r="D101" s="5">
        <f t="shared" si="10"/>
        <v>0.33333333333333337</v>
      </c>
      <c r="E101">
        <f t="shared" si="11"/>
        <v>3.768000000000001</v>
      </c>
      <c r="F101" s="3">
        <f>1*70.65</f>
        <v>70.65</v>
      </c>
    </row>
    <row r="108" spans="3:4" ht="12.75">
      <c r="C108" t="s">
        <v>12</v>
      </c>
      <c r="D108" t="s">
        <v>11</v>
      </c>
    </row>
    <row r="109" spans="3:6" ht="12.75">
      <c r="C109" s="6">
        <v>0</v>
      </c>
      <c r="D109" s="5" t="s">
        <v>18</v>
      </c>
      <c r="E109">
        <v>0</v>
      </c>
      <c r="F109" s="5" t="e">
        <f aca="true" t="shared" si="12" ref="F109:F119">(D109/267.947)*100</f>
        <v>#VALUE!</v>
      </c>
    </row>
    <row r="110" spans="3:6" ht="12.75">
      <c r="C110" s="6">
        <v>0.8</v>
      </c>
      <c r="D110" s="5">
        <f aca="true" t="shared" si="13" ref="D110:D119">3.14*C110*C110*(4-(C110/3))</f>
        <v>7.502506666666668</v>
      </c>
      <c r="E110">
        <v>10</v>
      </c>
      <c r="F110" s="5">
        <f t="shared" si="12"/>
        <v>2.799996516724079</v>
      </c>
    </row>
    <row r="111" spans="3:6" ht="12.75">
      <c r="C111" s="6">
        <v>1.6</v>
      </c>
      <c r="D111" s="5">
        <f t="shared" si="13"/>
        <v>27.86645333333334</v>
      </c>
      <c r="E111">
        <v>20</v>
      </c>
      <c r="F111" s="5">
        <f t="shared" si="12"/>
        <v>10.399987062118008</v>
      </c>
    </row>
    <row r="112" spans="3:6" ht="12.75">
      <c r="C112" s="6">
        <v>2.4</v>
      </c>
      <c r="D112" s="5">
        <f t="shared" si="13"/>
        <v>57.876479999999994</v>
      </c>
      <c r="E112">
        <v>30</v>
      </c>
      <c r="F112" s="5">
        <f t="shared" si="12"/>
        <v>21.59997312901432</v>
      </c>
    </row>
    <row r="113" spans="3:6" ht="12.75">
      <c r="C113" s="6">
        <v>3.2</v>
      </c>
      <c r="D113" s="5">
        <f t="shared" si="13"/>
        <v>94.31722666666668</v>
      </c>
      <c r="E113">
        <v>40</v>
      </c>
      <c r="F113" s="5">
        <f t="shared" si="12"/>
        <v>35.19995621024557</v>
      </c>
    </row>
    <row r="114" spans="3:6" ht="12.75">
      <c r="C114" s="6">
        <v>4</v>
      </c>
      <c r="D114" s="5">
        <f t="shared" si="13"/>
        <v>133.97333333333336</v>
      </c>
      <c r="E114">
        <v>50</v>
      </c>
      <c r="F114" s="5">
        <f t="shared" si="12"/>
        <v>49.99993779864427</v>
      </c>
    </row>
    <row r="115" spans="3:6" ht="12.75">
      <c r="C115" s="6">
        <v>4.8</v>
      </c>
      <c r="D115" s="5">
        <f t="shared" si="13"/>
        <v>173.62944000000002</v>
      </c>
      <c r="E115">
        <v>60</v>
      </c>
      <c r="F115" s="5">
        <f t="shared" si="12"/>
        <v>64.79991938704298</v>
      </c>
    </row>
    <row r="116" spans="3:6" ht="12.75">
      <c r="C116" s="6">
        <v>5.6</v>
      </c>
      <c r="D116" s="5">
        <f t="shared" si="13"/>
        <v>210.0701866666667</v>
      </c>
      <c r="E116">
        <v>70</v>
      </c>
      <c r="F116" s="5">
        <f t="shared" si="12"/>
        <v>78.3999024682742</v>
      </c>
    </row>
    <row r="117" spans="3:6" ht="12.75">
      <c r="C117" s="6">
        <v>6.4</v>
      </c>
      <c r="D117" s="5">
        <f t="shared" si="13"/>
        <v>240.08021333333338</v>
      </c>
      <c r="E117">
        <v>80</v>
      </c>
      <c r="F117" s="5">
        <f t="shared" si="12"/>
        <v>89.59988853517052</v>
      </c>
    </row>
    <row r="118" spans="3:6" ht="12.75">
      <c r="C118" s="6">
        <v>7.2</v>
      </c>
      <c r="D118" s="5">
        <f t="shared" si="13"/>
        <v>260.44416</v>
      </c>
      <c r="E118">
        <v>90</v>
      </c>
      <c r="F118" s="5">
        <f t="shared" si="12"/>
        <v>97.19987908056444</v>
      </c>
    </row>
    <row r="119" spans="3:6" ht="12.75">
      <c r="C119" s="6">
        <v>8</v>
      </c>
      <c r="D119" s="5">
        <f t="shared" si="13"/>
        <v>267.9466666666667</v>
      </c>
      <c r="E119">
        <v>100</v>
      </c>
      <c r="F119" s="5">
        <f t="shared" si="12"/>
        <v>99.99987559728854</v>
      </c>
    </row>
    <row r="125" ht="13.5" thickBot="1"/>
    <row r="126" spans="7:11" ht="39" thickBot="1">
      <c r="G126" s="17" t="s">
        <v>13</v>
      </c>
      <c r="H126" s="18" t="s">
        <v>14</v>
      </c>
      <c r="I126" s="19" t="s">
        <v>17</v>
      </c>
      <c r="J126" s="20" t="s">
        <v>15</v>
      </c>
      <c r="K126" s="18" t="s">
        <v>16</v>
      </c>
    </row>
    <row r="127" spans="3:14" ht="12.75">
      <c r="C127">
        <v>0</v>
      </c>
      <c r="D127" s="5">
        <f>3.14*C127*C127*(0.5-(C127/3))</f>
        <v>0</v>
      </c>
      <c r="E127">
        <f aca="true" t="shared" si="14" ref="E127:E137">(D127/0.52333)*100</f>
        <v>0</v>
      </c>
      <c r="F127" s="5">
        <f>0.1*3.14*C127*C127*(0.5-(C127/3))*100</f>
        <v>0</v>
      </c>
      <c r="G127" s="13">
        <v>0</v>
      </c>
      <c r="H127" s="15">
        <v>0</v>
      </c>
      <c r="I127" s="10">
        <v>0</v>
      </c>
      <c r="J127" s="15">
        <v>0</v>
      </c>
      <c r="K127" s="10">
        <v>0</v>
      </c>
      <c r="L127" s="9"/>
      <c r="M127" s="9"/>
      <c r="N127" s="9">
        <f>0.5*3.14*C127*C127*(0.5-(C127/3))*100</f>
        <v>0</v>
      </c>
    </row>
    <row r="128" spans="3:14" ht="12.75">
      <c r="C128">
        <v>0.1</v>
      </c>
      <c r="D128" s="5">
        <f aca="true" t="shared" si="15" ref="D128:D137">3.14*C128*C128*(0.5-(C128/3))</f>
        <v>0.014653333333333336</v>
      </c>
      <c r="E128">
        <f t="shared" si="14"/>
        <v>2.8000178345085005</v>
      </c>
      <c r="F128" s="5">
        <f aca="true" t="shared" si="16" ref="F128:F137">0.1*3.14*C128*C128*(0.5-(C128/3))</f>
        <v>0.0014653333333333335</v>
      </c>
      <c r="G128" s="12">
        <v>10</v>
      </c>
      <c r="H128" s="14">
        <v>2.8</v>
      </c>
      <c r="I128" s="11">
        <v>5.1</v>
      </c>
      <c r="J128" s="14">
        <v>2.8</v>
      </c>
      <c r="K128" s="11">
        <v>5.1</v>
      </c>
      <c r="L128" s="9"/>
      <c r="M128" s="9"/>
      <c r="N128" s="9">
        <f aca="true" t="shared" si="17" ref="N128:N137">0.5*3.14*C128*C128*(0.5-(C128/3))*100</f>
        <v>0.7326666666666668</v>
      </c>
    </row>
    <row r="129" spans="3:14" ht="12.75">
      <c r="C129">
        <v>0.2</v>
      </c>
      <c r="D129" s="5">
        <f t="shared" si="15"/>
        <v>0.05442666666666668</v>
      </c>
      <c r="E129">
        <f t="shared" si="14"/>
        <v>10.400066242460145</v>
      </c>
      <c r="F129" s="5">
        <f t="shared" si="16"/>
        <v>0.005442666666666668</v>
      </c>
      <c r="G129" s="12">
        <v>20</v>
      </c>
      <c r="H129" s="14">
        <v>10.4</v>
      </c>
      <c r="I129" s="11">
        <v>14</v>
      </c>
      <c r="J129" s="14">
        <v>10.4</v>
      </c>
      <c r="K129" s="11">
        <v>14</v>
      </c>
      <c r="L129" s="9"/>
      <c r="M129" s="9"/>
      <c r="N129" s="9">
        <f t="shared" si="17"/>
        <v>2.721333333333334</v>
      </c>
    </row>
    <row r="130" spans="3:14" ht="12.75">
      <c r="C130">
        <v>0.3</v>
      </c>
      <c r="D130" s="5">
        <f t="shared" si="15"/>
        <v>0.11303999999999999</v>
      </c>
      <c r="E130">
        <f t="shared" si="14"/>
        <v>21.600137580494142</v>
      </c>
      <c r="F130" s="5">
        <f t="shared" si="16"/>
        <v>0.011304000000000002</v>
      </c>
      <c r="G130" s="12">
        <v>30</v>
      </c>
      <c r="H130" s="14">
        <v>21.6</v>
      </c>
      <c r="I130" s="11">
        <v>25.5</v>
      </c>
      <c r="J130" s="14">
        <v>21.6</v>
      </c>
      <c r="K130" s="11">
        <v>25.5</v>
      </c>
      <c r="L130" s="9"/>
      <c r="M130" s="9"/>
      <c r="N130" s="9">
        <f t="shared" si="17"/>
        <v>5.651999999999999</v>
      </c>
    </row>
    <row r="131" spans="3:14" ht="12.75">
      <c r="C131">
        <v>0.4</v>
      </c>
      <c r="D131" s="5">
        <f t="shared" si="15"/>
        <v>0.18421333333333337</v>
      </c>
      <c r="E131">
        <f t="shared" si="14"/>
        <v>35.200224205249725</v>
      </c>
      <c r="F131" s="5">
        <f t="shared" si="16"/>
        <v>0.018421333333333338</v>
      </c>
      <c r="G131" s="12">
        <v>40</v>
      </c>
      <c r="H131" s="14">
        <v>35.2</v>
      </c>
      <c r="I131" s="11">
        <v>37.5</v>
      </c>
      <c r="J131" s="14">
        <v>35.2</v>
      </c>
      <c r="K131" s="11">
        <v>37.5</v>
      </c>
      <c r="L131" s="9"/>
      <c r="M131" s="9"/>
      <c r="N131" s="9">
        <f t="shared" si="17"/>
        <v>9.210666666666668</v>
      </c>
    </row>
    <row r="132" spans="3:14" ht="12.75">
      <c r="C132">
        <v>0.5</v>
      </c>
      <c r="D132" s="5">
        <f t="shared" si="15"/>
        <v>0.2616666666666667</v>
      </c>
      <c r="E132">
        <f t="shared" si="14"/>
        <v>50.00031847336609</v>
      </c>
      <c r="F132" s="5">
        <f t="shared" si="16"/>
        <v>0.026166666666666675</v>
      </c>
      <c r="G132" s="12">
        <v>50</v>
      </c>
      <c r="H132" s="14">
        <v>50</v>
      </c>
      <c r="I132" s="11">
        <v>50</v>
      </c>
      <c r="J132" s="14">
        <v>50</v>
      </c>
      <c r="K132" s="11">
        <v>50</v>
      </c>
      <c r="L132" s="9"/>
      <c r="M132" s="9"/>
      <c r="N132" s="9">
        <f t="shared" si="17"/>
        <v>13.083333333333336</v>
      </c>
    </row>
    <row r="133" spans="3:14" ht="12.75">
      <c r="C133">
        <v>0.6</v>
      </c>
      <c r="D133" s="5">
        <f t="shared" si="15"/>
        <v>0.33912000000000003</v>
      </c>
      <c r="E133">
        <f t="shared" si="14"/>
        <v>64.80041274148243</v>
      </c>
      <c r="F133" s="5">
        <f t="shared" si="16"/>
        <v>0.03391200000000001</v>
      </c>
      <c r="G133" s="12">
        <v>60</v>
      </c>
      <c r="H133" s="14">
        <v>64.8</v>
      </c>
      <c r="I133" s="11">
        <v>63</v>
      </c>
      <c r="J133" s="14">
        <v>64.8</v>
      </c>
      <c r="K133" s="11">
        <v>63</v>
      </c>
      <c r="L133" s="9"/>
      <c r="M133" s="9"/>
      <c r="N133" s="9">
        <f t="shared" si="17"/>
        <v>16.956000000000003</v>
      </c>
    </row>
    <row r="134" spans="3:14" ht="12.75">
      <c r="C134">
        <v>0.7</v>
      </c>
      <c r="D134" s="5">
        <f t="shared" si="15"/>
        <v>0.4102933333333334</v>
      </c>
      <c r="E134">
        <f t="shared" si="14"/>
        <v>78.40049936623802</v>
      </c>
      <c r="F134" s="5">
        <f t="shared" si="16"/>
        <v>0.04102933333333334</v>
      </c>
      <c r="G134" s="12">
        <v>70</v>
      </c>
      <c r="H134" s="14">
        <v>78.4</v>
      </c>
      <c r="I134" s="11">
        <v>74.5</v>
      </c>
      <c r="J134" s="14">
        <v>78.4</v>
      </c>
      <c r="K134" s="11">
        <v>74.5</v>
      </c>
      <c r="L134" s="9"/>
      <c r="M134" s="9"/>
      <c r="N134" s="9">
        <f t="shared" si="17"/>
        <v>20.51466666666667</v>
      </c>
    </row>
    <row r="135" spans="3:14" ht="12.75">
      <c r="C135">
        <v>0.8</v>
      </c>
      <c r="D135" s="5">
        <f t="shared" si="15"/>
        <v>0.46890666666666675</v>
      </c>
      <c r="E135">
        <f t="shared" si="14"/>
        <v>89.60057070427202</v>
      </c>
      <c r="F135" s="5">
        <f t="shared" si="16"/>
        <v>0.04689066666666667</v>
      </c>
      <c r="G135" s="12">
        <v>80</v>
      </c>
      <c r="H135" s="14">
        <v>89.6</v>
      </c>
      <c r="I135" s="11">
        <v>85</v>
      </c>
      <c r="J135" s="14">
        <v>89.6</v>
      </c>
      <c r="K135" s="11">
        <v>85</v>
      </c>
      <c r="L135" s="9"/>
      <c r="M135" s="9"/>
      <c r="N135" s="9">
        <f t="shared" si="17"/>
        <v>23.445333333333338</v>
      </c>
    </row>
    <row r="136" spans="3:14" ht="12.75">
      <c r="C136">
        <v>0.9</v>
      </c>
      <c r="D136" s="5">
        <f t="shared" si="15"/>
        <v>0.50868</v>
      </c>
      <c r="E136">
        <f t="shared" si="14"/>
        <v>97.20061911222365</v>
      </c>
      <c r="F136" s="5">
        <f t="shared" si="16"/>
        <v>0.05086800000000002</v>
      </c>
      <c r="G136" s="12">
        <v>90</v>
      </c>
      <c r="H136" s="14">
        <v>97.2</v>
      </c>
      <c r="I136" s="11">
        <v>94.9</v>
      </c>
      <c r="J136" s="14">
        <v>97.2</v>
      </c>
      <c r="K136" s="11">
        <v>94.9</v>
      </c>
      <c r="L136" s="9"/>
      <c r="M136" s="9"/>
      <c r="N136" s="9">
        <f t="shared" si="17"/>
        <v>25.434</v>
      </c>
    </row>
    <row r="137" spans="3:14" ht="12.75">
      <c r="C137">
        <v>1</v>
      </c>
      <c r="D137" s="8">
        <f t="shared" si="15"/>
        <v>0.5233333333333334</v>
      </c>
      <c r="E137">
        <f t="shared" si="14"/>
        <v>100.00063694673219</v>
      </c>
      <c r="F137" s="5">
        <f t="shared" si="16"/>
        <v>0.05233333333333335</v>
      </c>
      <c r="G137" s="13">
        <v>100</v>
      </c>
      <c r="H137" s="15">
        <v>100</v>
      </c>
      <c r="I137" s="10">
        <v>100</v>
      </c>
      <c r="J137" s="15">
        <v>100</v>
      </c>
      <c r="K137" s="10">
        <v>100</v>
      </c>
      <c r="L137" s="9"/>
      <c r="M137" s="9"/>
      <c r="N137" s="9">
        <f t="shared" si="17"/>
        <v>26.16666666666667</v>
      </c>
    </row>
    <row r="139" ht="12.75">
      <c r="O139" s="9"/>
    </row>
    <row r="142" spans="3:4" ht="12.75">
      <c r="C142">
        <v>0</v>
      </c>
      <c r="D142" s="16">
        <f>((3.14*0.4*C142*C142*(1-(C142/4.5)))/3.768)*100</f>
        <v>0</v>
      </c>
    </row>
    <row r="143" spans="3:4" ht="12.75">
      <c r="C143">
        <v>0.3</v>
      </c>
      <c r="D143" s="16">
        <f aca="true" t="shared" si="18" ref="D143:D152">((3.14*0.4*C143*C143*(1-(C143/4.5)))/3.768)*100</f>
        <v>2.8000000000000003</v>
      </c>
    </row>
    <row r="144" spans="3:4" ht="12.75">
      <c r="C144">
        <v>0.6</v>
      </c>
      <c r="D144" s="16">
        <f t="shared" si="18"/>
        <v>10.400000000000002</v>
      </c>
    </row>
    <row r="145" spans="3:4" ht="12.75">
      <c r="C145">
        <v>0.9</v>
      </c>
      <c r="D145" s="16">
        <f t="shared" si="18"/>
        <v>21.60000000000001</v>
      </c>
    </row>
    <row r="146" spans="3:4" ht="12.75">
      <c r="C146">
        <v>1.2</v>
      </c>
      <c r="D146" s="16">
        <f t="shared" si="18"/>
        <v>35.20000000000001</v>
      </c>
    </row>
    <row r="147" spans="3:4" ht="12.75">
      <c r="C147">
        <v>1.5</v>
      </c>
      <c r="D147" s="16">
        <f t="shared" si="18"/>
        <v>50.00000000000002</v>
      </c>
    </row>
    <row r="148" spans="3:4" ht="12.75">
      <c r="C148">
        <v>1.8</v>
      </c>
      <c r="D148" s="16">
        <f t="shared" si="18"/>
        <v>64.80000000000003</v>
      </c>
    </row>
    <row r="149" spans="3:4" ht="12.75">
      <c r="C149">
        <v>2.1</v>
      </c>
      <c r="D149" s="16">
        <f t="shared" si="18"/>
        <v>78.40000000000002</v>
      </c>
    </row>
    <row r="150" spans="3:4" ht="12.75">
      <c r="C150">
        <v>2.4</v>
      </c>
      <c r="D150" s="16">
        <f t="shared" si="18"/>
        <v>89.60000000000001</v>
      </c>
    </row>
    <row r="151" spans="3:4" ht="12.75">
      <c r="C151">
        <v>2.7</v>
      </c>
      <c r="D151" s="16">
        <f t="shared" si="18"/>
        <v>97.2</v>
      </c>
    </row>
    <row r="152" spans="3:4" ht="12.75">
      <c r="C152">
        <v>3</v>
      </c>
      <c r="D152" s="16">
        <f t="shared" si="18"/>
        <v>100.00000000000004</v>
      </c>
    </row>
    <row r="154" ht="12.75">
      <c r="D154">
        <f>1.3333*3.14*0.4*1.5*1.5</f>
        <v>3.7679058000000003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B5" sqref="B5"/>
    </sheetView>
  </sheetViews>
  <sheetFormatPr defaultColWidth="11.421875" defaultRowHeight="12.75"/>
  <sheetData>
    <row r="1" spans="1:3" ht="12.75">
      <c r="A1" s="24" t="s">
        <v>19</v>
      </c>
      <c r="B1" s="24"/>
      <c r="C1" s="24"/>
    </row>
    <row r="3" spans="1:3" ht="12.75">
      <c r="A3" s="22" t="s">
        <v>26</v>
      </c>
      <c r="B3" s="21">
        <v>3</v>
      </c>
      <c r="C3" s="22" t="s">
        <v>27</v>
      </c>
    </row>
    <row r="4" spans="1:3" ht="12.75">
      <c r="A4" t="s">
        <v>20</v>
      </c>
      <c r="B4" s="21">
        <v>10</v>
      </c>
      <c r="C4" s="22" t="s">
        <v>27</v>
      </c>
    </row>
    <row r="5" spans="1:3" ht="12.75">
      <c r="A5" t="s">
        <v>21</v>
      </c>
      <c r="B5" s="21">
        <v>0.6</v>
      </c>
      <c r="C5" s="22" t="s">
        <v>27</v>
      </c>
    </row>
    <row r="7" spans="1:4" ht="12.75">
      <c r="A7" s="22" t="s">
        <v>28</v>
      </c>
      <c r="D7" s="25">
        <f>3.14*($B$3/2)^2*$B$4</f>
        <v>70.65</v>
      </c>
    </row>
    <row r="8" spans="1:4" ht="12.75">
      <c r="A8" s="22" t="s">
        <v>30</v>
      </c>
      <c r="D8" s="25">
        <f>(4/3)*3.14*($B$3/2)^2*$B$5</f>
        <v>5.652</v>
      </c>
    </row>
    <row r="9" spans="1:4" ht="12.75">
      <c r="A9" s="22" t="s">
        <v>29</v>
      </c>
      <c r="D9" s="26">
        <f>$D$7+$D$8</f>
        <v>76.302</v>
      </c>
    </row>
    <row r="12" spans="1:5" ht="12.75">
      <c r="A12" t="s">
        <v>22</v>
      </c>
      <c r="B12" t="s">
        <v>24</v>
      </c>
      <c r="C12" t="s">
        <v>23</v>
      </c>
      <c r="D12" t="s">
        <v>25</v>
      </c>
      <c r="E12" t="s">
        <v>40</v>
      </c>
    </row>
    <row r="13" spans="1:5" ht="12.75">
      <c r="A13" s="6">
        <f>$B$3*0</f>
        <v>0</v>
      </c>
      <c r="B13" s="5">
        <f>$D$7*0</f>
        <v>0</v>
      </c>
      <c r="C13" s="5">
        <f>3.14*$B$5*A13^2*(1-(A13/(1.5*$B$3)))</f>
        <v>0</v>
      </c>
      <c r="D13" s="5">
        <f>B13+C13</f>
        <v>0</v>
      </c>
      <c r="E13" s="16">
        <f>(D13/$D$9)*100</f>
        <v>0</v>
      </c>
    </row>
    <row r="14" spans="1:5" ht="12.75">
      <c r="A14" s="6">
        <f>$B$3*0.1</f>
        <v>0.30000000000000004</v>
      </c>
      <c r="B14" s="5">
        <f>$D$7*0.051</f>
        <v>3.60315</v>
      </c>
      <c r="C14" s="5">
        <f aca="true" t="shared" si="0" ref="C14:C23">3.14*$B$5*A14^2*(1-(A14/(1.5*$B$3)))</f>
        <v>0.15825600000000004</v>
      </c>
      <c r="D14" s="5">
        <f aca="true" t="shared" si="1" ref="D14:D23">B14+C14</f>
        <v>3.761406</v>
      </c>
      <c r="E14" s="16">
        <f aca="true" t="shared" si="2" ref="E14:E23">(D14/$D$9)*100</f>
        <v>4.929629629629629</v>
      </c>
    </row>
    <row r="15" spans="1:5" ht="12.75">
      <c r="A15" s="6">
        <f>$B$3*0.2</f>
        <v>0.6000000000000001</v>
      </c>
      <c r="B15" s="5">
        <f>$D$7*0.14</f>
        <v>9.891000000000002</v>
      </c>
      <c r="C15" s="5">
        <f t="shared" si="0"/>
        <v>0.5878080000000002</v>
      </c>
      <c r="D15" s="5">
        <f t="shared" si="1"/>
        <v>10.478808000000003</v>
      </c>
      <c r="E15" s="16">
        <f t="shared" si="2"/>
        <v>13.733333333333336</v>
      </c>
    </row>
    <row r="16" spans="1:5" ht="12.75">
      <c r="A16" s="6">
        <f>$B$3*0.3</f>
        <v>0.8999999999999999</v>
      </c>
      <c r="B16" s="5">
        <f>$D$7*0.255</f>
        <v>18.01575</v>
      </c>
      <c r="C16" s="5">
        <f t="shared" si="0"/>
        <v>1.2208319999999997</v>
      </c>
      <c r="D16" s="5">
        <f t="shared" si="1"/>
        <v>19.236582</v>
      </c>
      <c r="E16" s="16">
        <f t="shared" si="2"/>
        <v>25.211111111111105</v>
      </c>
    </row>
    <row r="17" spans="1:5" ht="12.75">
      <c r="A17" s="6">
        <f>$B$3*0.4</f>
        <v>1.2000000000000002</v>
      </c>
      <c r="B17" s="5">
        <f>$D$7*0.375</f>
        <v>26.493750000000002</v>
      </c>
      <c r="C17" s="5">
        <f t="shared" si="0"/>
        <v>1.9895040000000004</v>
      </c>
      <c r="D17" s="5">
        <f t="shared" si="1"/>
        <v>28.483254000000002</v>
      </c>
      <c r="E17" s="16">
        <f t="shared" si="2"/>
        <v>37.32962962962963</v>
      </c>
    </row>
    <row r="18" spans="1:5" ht="12.75">
      <c r="A18" s="6">
        <f>$B$3*0.5</f>
        <v>1.5</v>
      </c>
      <c r="B18" s="5">
        <f>$D$7*0.5</f>
        <v>35.325</v>
      </c>
      <c r="C18" s="5">
        <f t="shared" si="0"/>
        <v>2.826</v>
      </c>
      <c r="D18" s="5">
        <f t="shared" si="1"/>
        <v>38.151</v>
      </c>
      <c r="E18" s="16">
        <f t="shared" si="2"/>
        <v>50</v>
      </c>
    </row>
    <row r="19" spans="1:5" ht="12.75">
      <c r="A19" s="6">
        <f>$B$3*0.6</f>
        <v>1.7999999999999998</v>
      </c>
      <c r="B19" s="5">
        <f>$D$7*0.63</f>
        <v>44.5095</v>
      </c>
      <c r="C19" s="5">
        <f t="shared" si="0"/>
        <v>3.6624959999999995</v>
      </c>
      <c r="D19" s="5">
        <f t="shared" si="1"/>
        <v>48.171996</v>
      </c>
      <c r="E19" s="16">
        <f t="shared" si="2"/>
        <v>63.13333333333333</v>
      </c>
    </row>
    <row r="20" spans="1:5" ht="12.75">
      <c r="A20" s="6">
        <f>$B$3*0.7</f>
        <v>2.0999999999999996</v>
      </c>
      <c r="B20" s="5">
        <f>$D$7*0.745</f>
        <v>52.63425</v>
      </c>
      <c r="C20" s="5">
        <f t="shared" si="0"/>
        <v>4.431167999999999</v>
      </c>
      <c r="D20" s="5">
        <f t="shared" si="1"/>
        <v>57.065418</v>
      </c>
      <c r="E20" s="16">
        <f t="shared" si="2"/>
        <v>74.78888888888888</v>
      </c>
    </row>
    <row r="21" spans="1:5" ht="12.75">
      <c r="A21" s="6">
        <f>$B$3*0.8</f>
        <v>2.4000000000000004</v>
      </c>
      <c r="B21" s="5">
        <f>$D$7*0.85</f>
        <v>60.0525</v>
      </c>
      <c r="C21" s="5">
        <f t="shared" si="0"/>
        <v>5.064192</v>
      </c>
      <c r="D21" s="5">
        <f t="shared" si="1"/>
        <v>65.116692</v>
      </c>
      <c r="E21" s="16">
        <f t="shared" si="2"/>
        <v>85.34074074074074</v>
      </c>
    </row>
    <row r="22" spans="1:5" ht="12.75">
      <c r="A22" s="6">
        <f>$B$3*0.9</f>
        <v>2.7</v>
      </c>
      <c r="B22" s="5">
        <f>$D$7*0.949</f>
        <v>67.04685</v>
      </c>
      <c r="C22" s="5">
        <f t="shared" si="0"/>
        <v>5.493743999999999</v>
      </c>
      <c r="D22" s="5">
        <f t="shared" si="1"/>
        <v>72.540594</v>
      </c>
      <c r="E22" s="16">
        <f t="shared" si="2"/>
        <v>95.07037037037036</v>
      </c>
    </row>
    <row r="23" spans="1:5" ht="12.75">
      <c r="A23" s="6">
        <f>$B$3*1</f>
        <v>3</v>
      </c>
      <c r="B23" s="5">
        <f>$D$7*1</f>
        <v>70.65</v>
      </c>
      <c r="C23" s="5">
        <f t="shared" si="0"/>
        <v>5.652</v>
      </c>
      <c r="D23" s="5">
        <f t="shared" si="1"/>
        <v>76.302</v>
      </c>
      <c r="E23" s="16">
        <f t="shared" si="2"/>
        <v>100</v>
      </c>
    </row>
    <row r="32" spans="1:6" ht="12.75">
      <c r="A32" s="24" t="s">
        <v>31</v>
      </c>
      <c r="B32" s="24"/>
      <c r="C32" s="24"/>
      <c r="D32" s="24"/>
      <c r="E32" s="24"/>
      <c r="F32" s="24"/>
    </row>
    <row r="34" spans="1:3" ht="12.75">
      <c r="A34" t="s">
        <v>34</v>
      </c>
      <c r="B34" s="23">
        <v>3</v>
      </c>
      <c r="C34" s="22" t="s">
        <v>27</v>
      </c>
    </row>
    <row r="35" spans="1:3" ht="12.75">
      <c r="A35" t="s">
        <v>35</v>
      </c>
      <c r="B35" s="23">
        <v>2</v>
      </c>
      <c r="C35" s="22" t="s">
        <v>27</v>
      </c>
    </row>
    <row r="36" spans="1:3" ht="12.75">
      <c r="A36" t="s">
        <v>20</v>
      </c>
      <c r="B36" s="23">
        <v>5</v>
      </c>
      <c r="C36" s="22" t="s">
        <v>27</v>
      </c>
    </row>
    <row r="37" spans="1:3" ht="12.75">
      <c r="A37" t="s">
        <v>21</v>
      </c>
      <c r="B37" s="23">
        <v>0.4</v>
      </c>
      <c r="C37" s="22" t="s">
        <v>27</v>
      </c>
    </row>
    <row r="39" spans="1:4" ht="12.75">
      <c r="A39" s="22" t="s">
        <v>32</v>
      </c>
      <c r="D39" s="25">
        <f>3.14*($B$34/2)*($B$35/2)*5</f>
        <v>23.55</v>
      </c>
    </row>
    <row r="40" spans="1:4" ht="12.75">
      <c r="A40" s="22" t="s">
        <v>30</v>
      </c>
      <c r="D40" s="27">
        <f>3.14*$B$37*($B$34/$B$35)*$B$35^2*(1-($B$35/(1.5*$B$35)))</f>
        <v>2.512000000000001</v>
      </c>
    </row>
    <row r="41" spans="1:4" ht="12.75">
      <c r="A41" s="22" t="s">
        <v>29</v>
      </c>
      <c r="D41" s="26">
        <f>$D$39+N43</f>
        <v>23.55</v>
      </c>
    </row>
    <row r="44" spans="1:5" ht="12.75">
      <c r="A44" t="s">
        <v>22</v>
      </c>
      <c r="B44" t="s">
        <v>33</v>
      </c>
      <c r="C44" t="s">
        <v>23</v>
      </c>
      <c r="D44" t="s">
        <v>25</v>
      </c>
      <c r="E44" t="s">
        <v>39</v>
      </c>
    </row>
    <row r="45" spans="1:5" ht="12.75">
      <c r="A45" s="6">
        <f>$B$35*0</f>
        <v>0</v>
      </c>
      <c r="B45" s="5">
        <f>$D$39*0</f>
        <v>0</v>
      </c>
      <c r="C45" s="5">
        <f>3.14*$B$37*($B$34/$B$35)*A45^2*(1-(A45/(1.5*$B$35)))</f>
        <v>0</v>
      </c>
      <c r="D45" s="5">
        <f>B45+C45</f>
        <v>0</v>
      </c>
      <c r="E45" s="5">
        <f>B45/$D$39</f>
        <v>0</v>
      </c>
    </row>
    <row r="46" spans="1:5" ht="12.75">
      <c r="A46" s="6">
        <f>$B$35*0.1</f>
        <v>0.2</v>
      </c>
      <c r="B46" s="5">
        <f>$D$39*0.051</f>
        <v>1.20105</v>
      </c>
      <c r="C46" s="5">
        <f aca="true" t="shared" si="3" ref="C46:C55">3.14*$B$37*($B$34/$B$35)*A46^2*(1-(A46/(1.5*$B$35)))</f>
        <v>0.07033600000000002</v>
      </c>
      <c r="D46" s="5">
        <f aca="true" t="shared" si="4" ref="D46:D55">B46+C46</f>
        <v>1.271386</v>
      </c>
      <c r="E46" s="5">
        <f aca="true" t="shared" si="5" ref="E46:E55">B46/$D$39</f>
        <v>0.051</v>
      </c>
    </row>
    <row r="47" spans="1:5" ht="12.75">
      <c r="A47" s="6">
        <f>$B$35*0.2</f>
        <v>0.4</v>
      </c>
      <c r="B47" s="5">
        <f>$D$39*0.14</f>
        <v>3.2970000000000006</v>
      </c>
      <c r="C47" s="5">
        <f t="shared" si="3"/>
        <v>0.2612480000000001</v>
      </c>
      <c r="D47" s="5">
        <f t="shared" si="4"/>
        <v>3.5582480000000007</v>
      </c>
      <c r="E47" s="5">
        <f t="shared" si="5"/>
        <v>0.14</v>
      </c>
    </row>
    <row r="48" spans="1:5" ht="12.75">
      <c r="A48" s="6">
        <f>$B$35*0.3</f>
        <v>0.6</v>
      </c>
      <c r="B48" s="5">
        <f>$D$39*0.255</f>
        <v>6.00525</v>
      </c>
      <c r="C48" s="5">
        <f t="shared" si="3"/>
        <v>0.5425920000000001</v>
      </c>
      <c r="D48" s="5">
        <f t="shared" si="4"/>
        <v>6.547842</v>
      </c>
      <c r="E48" s="5">
        <f t="shared" si="5"/>
        <v>0.255</v>
      </c>
    </row>
    <row r="49" spans="1:5" ht="12.75">
      <c r="A49" s="6">
        <f>$B$35*0.4</f>
        <v>0.8</v>
      </c>
      <c r="B49" s="5">
        <f>$D$39*0.375</f>
        <v>8.83125</v>
      </c>
      <c r="C49" s="5">
        <f t="shared" si="3"/>
        <v>0.8842240000000003</v>
      </c>
      <c r="D49" s="5">
        <f t="shared" si="4"/>
        <v>9.715474</v>
      </c>
      <c r="E49" s="5">
        <f t="shared" si="5"/>
        <v>0.375</v>
      </c>
    </row>
    <row r="50" spans="1:5" ht="12.75">
      <c r="A50" s="6">
        <f>$B$35*0.5</f>
        <v>1</v>
      </c>
      <c r="B50" s="5">
        <f>$D$39*0.5</f>
        <v>11.775</v>
      </c>
      <c r="C50" s="5">
        <f t="shared" si="3"/>
        <v>1.2560000000000004</v>
      </c>
      <c r="D50" s="5">
        <f t="shared" si="4"/>
        <v>13.031</v>
      </c>
      <c r="E50" s="5">
        <f t="shared" si="5"/>
        <v>0.5</v>
      </c>
    </row>
    <row r="51" spans="1:5" ht="12.75">
      <c r="A51" s="6">
        <f>$B$35*0.6</f>
        <v>1.2</v>
      </c>
      <c r="B51" s="5">
        <f>$D$39*0.63</f>
        <v>14.836500000000001</v>
      </c>
      <c r="C51" s="5">
        <f t="shared" si="3"/>
        <v>1.6277760000000003</v>
      </c>
      <c r="D51" s="5">
        <f t="shared" si="4"/>
        <v>16.464276</v>
      </c>
      <c r="E51" s="5">
        <f t="shared" si="5"/>
        <v>0.63</v>
      </c>
    </row>
    <row r="52" spans="1:5" ht="12.75">
      <c r="A52" s="6">
        <f>$B$35*0.7</f>
        <v>1.4</v>
      </c>
      <c r="B52" s="5">
        <f>$D$39*0.745</f>
        <v>17.54475</v>
      </c>
      <c r="C52" s="5">
        <f t="shared" si="3"/>
        <v>1.9694080000000005</v>
      </c>
      <c r="D52" s="5">
        <f t="shared" si="4"/>
        <v>19.514158000000002</v>
      </c>
      <c r="E52" s="5">
        <f t="shared" si="5"/>
        <v>0.745</v>
      </c>
    </row>
    <row r="53" spans="1:5" ht="12.75">
      <c r="A53" s="6">
        <f>$B$35*0.8</f>
        <v>1.6</v>
      </c>
      <c r="B53" s="5">
        <f>$D$39*0.85</f>
        <v>20.017500000000002</v>
      </c>
      <c r="C53" s="5">
        <f t="shared" si="3"/>
        <v>2.2507520000000008</v>
      </c>
      <c r="D53" s="5">
        <f t="shared" si="4"/>
        <v>22.268252000000004</v>
      </c>
      <c r="E53" s="5">
        <f t="shared" si="5"/>
        <v>0.8500000000000001</v>
      </c>
    </row>
    <row r="54" spans="1:5" ht="12.75">
      <c r="A54" s="6">
        <f>$B$35*0.9</f>
        <v>1.8</v>
      </c>
      <c r="B54" s="5">
        <f>$D$39*0.949</f>
        <v>22.34895</v>
      </c>
      <c r="C54" s="5">
        <f t="shared" si="3"/>
        <v>2.4416640000000007</v>
      </c>
      <c r="D54" s="5">
        <f t="shared" si="4"/>
        <v>24.790613999999998</v>
      </c>
      <c r="E54" s="5">
        <f t="shared" si="5"/>
        <v>0.949</v>
      </c>
    </row>
    <row r="55" spans="1:5" ht="12.75">
      <c r="A55" s="6">
        <f>$B$35*1</f>
        <v>2</v>
      </c>
      <c r="B55" s="5">
        <f>$D$39*1</f>
        <v>23.55</v>
      </c>
      <c r="C55" s="5">
        <f t="shared" si="3"/>
        <v>2.512000000000001</v>
      </c>
      <c r="D55" s="5">
        <f t="shared" si="4"/>
        <v>26.062</v>
      </c>
      <c r="E55" s="5">
        <f t="shared" si="5"/>
        <v>1</v>
      </c>
    </row>
    <row r="62" ht="12.75">
      <c r="A62" s="22" t="s">
        <v>36</v>
      </c>
    </row>
    <row r="64" spans="1:3" ht="12.75">
      <c r="A64" s="22" t="s">
        <v>26</v>
      </c>
      <c r="B64">
        <v>6</v>
      </c>
      <c r="C64" s="22" t="s">
        <v>27</v>
      </c>
    </row>
    <row r="65" ht="12.75">
      <c r="B65">
        <f>$B$64/2</f>
        <v>3</v>
      </c>
    </row>
    <row r="66" spans="1:4" ht="12.75">
      <c r="A66" s="22" t="s">
        <v>37</v>
      </c>
      <c r="D66" s="26">
        <f>(4/3)*3.14*($B$64/2)^3</f>
        <v>113.03999999999999</v>
      </c>
    </row>
    <row r="69" spans="1:5" ht="12.75">
      <c r="A69" t="s">
        <v>22</v>
      </c>
      <c r="B69" s="22" t="s">
        <v>38</v>
      </c>
      <c r="E69" t="s">
        <v>40</v>
      </c>
    </row>
    <row r="70" spans="1:5" ht="12.75">
      <c r="A70" s="6">
        <f>$B$64*0</f>
        <v>0</v>
      </c>
      <c r="B70" s="5">
        <f>3.14*A70^2*($B$65-(A70/3))</f>
        <v>0</v>
      </c>
      <c r="E70" s="5">
        <f>B70/$D$66</f>
        <v>0</v>
      </c>
    </row>
    <row r="71" spans="1:5" ht="12.75">
      <c r="A71" s="6">
        <f>$B$64*0.1</f>
        <v>0.6000000000000001</v>
      </c>
      <c r="B71" s="5">
        <f aca="true" t="shared" si="6" ref="B71:B80">3.14*A71^2*($B$65-(A71/3))</f>
        <v>3.165120000000001</v>
      </c>
      <c r="E71" s="5">
        <f aca="true" t="shared" si="7" ref="E71:E80">B71/$D$66</f>
        <v>0.028000000000000008</v>
      </c>
    </row>
    <row r="72" spans="1:5" ht="12.75">
      <c r="A72" s="6">
        <f>$B$64*0.2</f>
        <v>1.2000000000000002</v>
      </c>
      <c r="B72" s="5">
        <f t="shared" si="6"/>
        <v>11.756160000000003</v>
      </c>
      <c r="E72" s="5">
        <f t="shared" si="7"/>
        <v>0.10400000000000004</v>
      </c>
    </row>
    <row r="73" spans="1:5" ht="12.75">
      <c r="A73" s="6">
        <f>$B$64*0.3</f>
        <v>1.7999999999999998</v>
      </c>
      <c r="B73" s="5">
        <f t="shared" si="6"/>
        <v>24.416639999999997</v>
      </c>
      <c r="E73" s="5">
        <f t="shared" si="7"/>
        <v>0.216</v>
      </c>
    </row>
    <row r="74" spans="1:5" ht="12.75">
      <c r="A74" s="6">
        <f>$B$64*0.4</f>
        <v>2.4000000000000004</v>
      </c>
      <c r="B74" s="5">
        <f t="shared" si="6"/>
        <v>39.79008</v>
      </c>
      <c r="E74" s="5">
        <f t="shared" si="7"/>
        <v>0.35200000000000004</v>
      </c>
    </row>
    <row r="75" spans="1:5" ht="12.75">
      <c r="A75" s="6">
        <f>$B$64*0.5</f>
        <v>3</v>
      </c>
      <c r="B75" s="5">
        <f t="shared" si="6"/>
        <v>56.52</v>
      </c>
      <c r="E75" s="5">
        <f t="shared" si="7"/>
        <v>0.5000000000000001</v>
      </c>
    </row>
    <row r="76" spans="1:5" ht="12.75">
      <c r="A76" s="6">
        <f>$B$64*0.6</f>
        <v>3.5999999999999996</v>
      </c>
      <c r="B76" s="5">
        <f t="shared" si="6"/>
        <v>73.24991999999999</v>
      </c>
      <c r="E76" s="5">
        <f t="shared" si="7"/>
        <v>0.6479999999999999</v>
      </c>
    </row>
    <row r="77" spans="1:5" ht="12.75">
      <c r="A77" s="6">
        <f>$B$64*0.7</f>
        <v>4.199999999999999</v>
      </c>
      <c r="B77" s="5">
        <f t="shared" si="6"/>
        <v>88.62335999999999</v>
      </c>
      <c r="E77" s="5">
        <f t="shared" si="7"/>
        <v>0.784</v>
      </c>
    </row>
    <row r="78" spans="1:5" ht="12.75">
      <c r="A78" s="6">
        <f>$B$64*0.8</f>
        <v>4.800000000000001</v>
      </c>
      <c r="B78" s="5">
        <f t="shared" si="6"/>
        <v>101.28384</v>
      </c>
      <c r="E78" s="5">
        <f t="shared" si="7"/>
        <v>0.896</v>
      </c>
    </row>
    <row r="79" spans="1:5" ht="12.75">
      <c r="A79" s="6">
        <f>$B$64*0.9</f>
        <v>5.4</v>
      </c>
      <c r="B79" s="5">
        <f t="shared" si="6"/>
        <v>109.87488</v>
      </c>
      <c r="E79" s="5">
        <f t="shared" si="7"/>
        <v>0.9720000000000001</v>
      </c>
    </row>
    <row r="80" spans="1:5" ht="12.75">
      <c r="A80" s="6">
        <f>$B$64*1</f>
        <v>6</v>
      </c>
      <c r="B80" s="5">
        <f t="shared" si="6"/>
        <v>113.04</v>
      </c>
      <c r="E80" s="5">
        <f t="shared" si="7"/>
        <v>1.0000000000000002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Principal</cp:lastModifiedBy>
  <cp:lastPrinted>2004-06-18T14:42:13Z</cp:lastPrinted>
  <dcterms:created xsi:type="dcterms:W3CDTF">2004-06-18T12:50:51Z</dcterms:created>
  <dcterms:modified xsi:type="dcterms:W3CDTF">2012-11-24T10:45:38Z</dcterms:modified>
  <cp:category/>
  <cp:version/>
  <cp:contentType/>
  <cp:contentStatus/>
</cp:coreProperties>
</file>